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4FY\"/>
    </mc:Choice>
  </mc:AlternateContent>
  <bookViews>
    <workbookView xWindow="135" yWindow="150" windowWidth="14580" windowHeight="12975"/>
  </bookViews>
  <sheets>
    <sheet name="Summary" sheetId="1" r:id="rId1"/>
    <sheet name="Video Lottery" sheetId="3" r:id="rId2"/>
    <sheet name="Table Games" sheetId="2" r:id="rId3"/>
  </sheets>
  <definedNames>
    <definedName name="_xlnm.Print_Area" localSheetId="0">Summary!$A$1:$N$25</definedName>
    <definedName name="_xlnm.Print_Area" localSheetId="2">'Table Games'!$A$1:$L$22</definedName>
    <definedName name="_xlnm.Print_Area" localSheetId="1">'Video Lottery'!$A$1:$M$22</definedName>
  </definedNames>
  <calcPr calcId="162913"/>
</workbook>
</file>

<file path=xl/calcChain.xml><?xml version="1.0" encoding="utf-8"?>
<calcChain xmlns="http://schemas.openxmlformats.org/spreadsheetml/2006/main">
  <c r="M17" i="3" l="1"/>
  <c r="L17" i="3"/>
  <c r="K17" i="3"/>
  <c r="H17" i="3"/>
  <c r="C17" i="3"/>
  <c r="D17" i="3" s="1"/>
  <c r="G17" i="2"/>
  <c r="L17" i="2"/>
  <c r="K17" i="2"/>
  <c r="J17" i="2"/>
  <c r="G20" i="1"/>
  <c r="C20" i="1"/>
  <c r="B20" i="1"/>
  <c r="A20" i="1"/>
  <c r="C17" i="2"/>
  <c r="A17" i="2"/>
  <c r="D20" i="1" l="1"/>
  <c r="D17" i="2"/>
  <c r="E17" i="3"/>
  <c r="G17" i="3" l="1"/>
  <c r="F20" i="1"/>
  <c r="F17" i="2"/>
  <c r="I17" i="2" s="1"/>
  <c r="E20" i="1"/>
  <c r="A19" i="1"/>
  <c r="G19" i="1"/>
  <c r="C19" i="1"/>
  <c r="B19" i="1"/>
  <c r="C16" i="2"/>
  <c r="A16" i="2"/>
  <c r="C16" i="3"/>
  <c r="L20" i="1" l="1"/>
  <c r="N20" i="1"/>
  <c r="M20" i="1"/>
  <c r="J17" i="3"/>
  <c r="K20" i="1" s="1"/>
  <c r="I17" i="3"/>
  <c r="I20" i="1"/>
  <c r="H17" i="2"/>
  <c r="H20" i="1"/>
  <c r="D19" i="1"/>
  <c r="D16" i="2"/>
  <c r="F16" i="2" s="1"/>
  <c r="D16" i="3"/>
  <c r="E16" i="3"/>
  <c r="F19" i="1" s="1"/>
  <c r="C15" i="2"/>
  <c r="J20" i="1" l="1"/>
  <c r="L16" i="2"/>
  <c r="K16" i="2"/>
  <c r="J16" i="2"/>
  <c r="E19" i="1"/>
  <c r="I16" i="2"/>
  <c r="H16" i="2"/>
  <c r="G16" i="2"/>
  <c r="G16" i="3"/>
  <c r="C15" i="3"/>
  <c r="E15" i="3" s="1"/>
  <c r="F18" i="1" s="1"/>
  <c r="G18" i="1"/>
  <c r="C18" i="1"/>
  <c r="B18" i="1"/>
  <c r="A18" i="1"/>
  <c r="A15" i="2"/>
  <c r="M16" i="3" l="1"/>
  <c r="K16" i="3"/>
  <c r="L19" i="1" s="1"/>
  <c r="L16" i="3"/>
  <c r="N19" i="1"/>
  <c r="M19" i="1"/>
  <c r="H16" i="3"/>
  <c r="I19" i="1" s="1"/>
  <c r="H19" i="1"/>
  <c r="I16" i="3"/>
  <c r="J19" i="1" s="1"/>
  <c r="J16" i="3"/>
  <c r="K19" i="1" s="1"/>
  <c r="D18" i="1"/>
  <c r="D15" i="2"/>
  <c r="F15" i="2" s="1"/>
  <c r="D15" i="3"/>
  <c r="K15" i="2" l="1"/>
  <c r="L15" i="2"/>
  <c r="J15" i="2"/>
  <c r="G15" i="3"/>
  <c r="E18" i="1"/>
  <c r="H15" i="2"/>
  <c r="I15" i="2"/>
  <c r="G15" i="2"/>
  <c r="K15" i="3" l="1"/>
  <c r="H15" i="3"/>
  <c r="I18" i="1" s="1"/>
  <c r="M15" i="3"/>
  <c r="L15" i="3"/>
  <c r="M18" i="1" s="1"/>
  <c r="L18" i="1"/>
  <c r="I15" i="3"/>
  <c r="J18" i="1" s="1"/>
  <c r="J15" i="3"/>
  <c r="K18" i="1" s="1"/>
  <c r="N18" i="1"/>
  <c r="H18" i="1"/>
  <c r="C14" i="3"/>
  <c r="D14" i="3" s="1"/>
  <c r="B17" i="1"/>
  <c r="G17" i="1"/>
  <c r="C17" i="1"/>
  <c r="A17" i="1"/>
  <c r="C14" i="2"/>
  <c r="D14" i="2" s="1"/>
  <c r="A14" i="2"/>
  <c r="E17" i="1" l="1"/>
  <c r="D17" i="1"/>
  <c r="F14" i="2"/>
  <c r="E14" i="3"/>
  <c r="C13" i="2"/>
  <c r="J14" i="2" l="1"/>
  <c r="L14" i="2"/>
  <c r="K14" i="2"/>
  <c r="G14" i="2"/>
  <c r="G14" i="3"/>
  <c r="F17" i="1"/>
  <c r="I14" i="2"/>
  <c r="H14" i="2"/>
  <c r="D13" i="2"/>
  <c r="C13" i="3"/>
  <c r="D13" i="3" s="1"/>
  <c r="G16" i="1"/>
  <c r="C16" i="1"/>
  <c r="B16" i="1"/>
  <c r="A16" i="1"/>
  <c r="A13" i="2"/>
  <c r="K14" i="3" l="1"/>
  <c r="L17" i="1" s="1"/>
  <c r="M14" i="3"/>
  <c r="L14" i="3"/>
  <c r="H14" i="3"/>
  <c r="H17" i="1"/>
  <c r="M17" i="1"/>
  <c r="I17" i="1"/>
  <c r="N17" i="1"/>
  <c r="I14" i="3"/>
  <c r="J17" i="1" s="1"/>
  <c r="J14" i="3"/>
  <c r="K17" i="1" s="1"/>
  <c r="E16" i="1"/>
  <c r="D16" i="1"/>
  <c r="F13" i="2"/>
  <c r="E13" i="3"/>
  <c r="K13" i="2" l="1"/>
  <c r="J13" i="2"/>
  <c r="G13" i="2"/>
  <c r="L13" i="2"/>
  <c r="G13" i="3"/>
  <c r="H13" i="3" s="1"/>
  <c r="F16" i="1"/>
  <c r="I13" i="2"/>
  <c r="H13" i="2"/>
  <c r="B19" i="3"/>
  <c r="D12" i="3"/>
  <c r="C12" i="3"/>
  <c r="G15" i="1"/>
  <c r="C15" i="1"/>
  <c r="B15" i="1"/>
  <c r="A15" i="1"/>
  <c r="C12" i="2"/>
  <c r="D12" i="2" s="1"/>
  <c r="A12" i="2"/>
  <c r="M13" i="3" l="1"/>
  <c r="N16" i="1" s="1"/>
  <c r="K13" i="3"/>
  <c r="L13" i="3"/>
  <c r="M16" i="1" s="1"/>
  <c r="I16" i="1"/>
  <c r="H16" i="1"/>
  <c r="L16" i="1"/>
  <c r="J13" i="3"/>
  <c r="K16" i="1" s="1"/>
  <c r="I13" i="3"/>
  <c r="J16" i="1" s="1"/>
  <c r="E15" i="1"/>
  <c r="D15" i="1"/>
  <c r="F12" i="2"/>
  <c r="E12" i="3"/>
  <c r="K12" i="2" l="1"/>
  <c r="J12" i="2"/>
  <c r="L12" i="2"/>
  <c r="G12" i="2"/>
  <c r="G12" i="3"/>
  <c r="F15" i="1"/>
  <c r="I12" i="2"/>
  <c r="H12" i="2"/>
  <c r="C11" i="2"/>
  <c r="C11" i="3"/>
  <c r="E11" i="3" s="1"/>
  <c r="F14" i="1" s="1"/>
  <c r="G14" i="1"/>
  <c r="C14" i="1"/>
  <c r="B14" i="1"/>
  <c r="A14" i="1"/>
  <c r="A11" i="2"/>
  <c r="L12" i="3" l="1"/>
  <c r="M12" i="3"/>
  <c r="N15" i="1" s="1"/>
  <c r="H12" i="3"/>
  <c r="K12" i="3"/>
  <c r="L15" i="1" s="1"/>
  <c r="H15" i="1"/>
  <c r="M15" i="1"/>
  <c r="I15" i="1"/>
  <c r="I12" i="3"/>
  <c r="J15" i="1" s="1"/>
  <c r="J12" i="3"/>
  <c r="K15" i="1" s="1"/>
  <c r="D14" i="1"/>
  <c r="D11" i="2"/>
  <c r="F11" i="2" s="1"/>
  <c r="D11" i="3"/>
  <c r="G11" i="2" l="1"/>
  <c r="K11" i="2"/>
  <c r="L11" i="2"/>
  <c r="G11" i="3"/>
  <c r="E14" i="1"/>
  <c r="I11" i="2"/>
  <c r="H11" i="2"/>
  <c r="J11" i="2"/>
  <c r="C10" i="2"/>
  <c r="D10" i="2" s="1"/>
  <c r="F10" i="2" s="1"/>
  <c r="C9" i="2"/>
  <c r="C8" i="2"/>
  <c r="C10" i="3"/>
  <c r="G13" i="1"/>
  <c r="C13" i="1"/>
  <c r="B13" i="1"/>
  <c r="A13" i="1"/>
  <c r="A10" i="2"/>
  <c r="I11" i="3" l="1"/>
  <c r="J14" i="1" s="1"/>
  <c r="H11" i="3"/>
  <c r="L11" i="3"/>
  <c r="M14" i="1" s="1"/>
  <c r="M11" i="3"/>
  <c r="J11" i="3"/>
  <c r="K14" i="1" s="1"/>
  <c r="I14" i="1"/>
  <c r="N14" i="1"/>
  <c r="H14" i="1"/>
  <c r="K11" i="3"/>
  <c r="L14" i="1" s="1"/>
  <c r="L10" i="2"/>
  <c r="K10" i="2"/>
  <c r="G10" i="2"/>
  <c r="D13" i="1"/>
  <c r="J10" i="2"/>
  <c r="I10" i="2"/>
  <c r="H10" i="2"/>
  <c r="D10" i="3"/>
  <c r="E10" i="3"/>
  <c r="F13" i="1" s="1"/>
  <c r="G10" i="3" l="1"/>
  <c r="L10" i="3" s="1"/>
  <c r="E13" i="1"/>
  <c r="C9" i="3"/>
  <c r="J10" i="3" l="1"/>
  <c r="K13" i="1" s="1"/>
  <c r="K10" i="3"/>
  <c r="L13" i="1" s="1"/>
  <c r="M10" i="3"/>
  <c r="N13" i="1" s="1"/>
  <c r="H10" i="3"/>
  <c r="I13" i="1" s="1"/>
  <c r="M13" i="1"/>
  <c r="I10" i="3"/>
  <c r="J13" i="1" s="1"/>
  <c r="H13" i="1"/>
  <c r="G12" i="1"/>
  <c r="C12" i="1"/>
  <c r="B12" i="1"/>
  <c r="A12" i="1"/>
  <c r="D9" i="2"/>
  <c r="F9" i="2" s="1"/>
  <c r="A9" i="2"/>
  <c r="E9" i="3"/>
  <c r="F12" i="1" s="1"/>
  <c r="L9" i="2" l="1"/>
  <c r="K9" i="2"/>
  <c r="G9" i="2"/>
  <c r="J9" i="2"/>
  <c r="D12" i="1"/>
  <c r="H9" i="2"/>
  <c r="D9" i="3"/>
  <c r="G9" i="3" s="1"/>
  <c r="M9" i="3" l="1"/>
  <c r="N12" i="1" s="1"/>
  <c r="L9" i="3"/>
  <c r="M12" i="1" s="1"/>
  <c r="K9" i="3"/>
  <c r="L12" i="1" s="1"/>
  <c r="H9" i="3"/>
  <c r="I12" i="1" s="1"/>
  <c r="E12" i="1"/>
  <c r="I9" i="2"/>
  <c r="H12" i="1"/>
  <c r="J9" i="3"/>
  <c r="I9" i="3"/>
  <c r="J12" i="1" s="1"/>
  <c r="G11" i="1"/>
  <c r="D11" i="1"/>
  <c r="C11" i="1"/>
  <c r="B11" i="1"/>
  <c r="A11" i="1"/>
  <c r="C8" i="3"/>
  <c r="E8" i="3" s="1"/>
  <c r="F11" i="1" s="1"/>
  <c r="A8" i="2"/>
  <c r="K12" i="1" l="1"/>
  <c r="D8" i="2"/>
  <c r="D8" i="3"/>
  <c r="G8" i="3" s="1"/>
  <c r="C7" i="2"/>
  <c r="C7" i="3"/>
  <c r="D7" i="3" s="1"/>
  <c r="A10" i="1"/>
  <c r="G10" i="1"/>
  <c r="C10" i="1"/>
  <c r="B10" i="1"/>
  <c r="A7" i="2"/>
  <c r="F8" i="2" l="1"/>
  <c r="I8" i="2" s="1"/>
  <c r="E11" i="1"/>
  <c r="H8" i="3"/>
  <c r="M8" i="3"/>
  <c r="K8" i="3"/>
  <c r="L8" i="3"/>
  <c r="I8" i="3"/>
  <c r="J8" i="3"/>
  <c r="D10" i="1"/>
  <c r="D7" i="2"/>
  <c r="F7" i="2" s="1"/>
  <c r="E7" i="3"/>
  <c r="C6" i="3"/>
  <c r="G8" i="2" l="1"/>
  <c r="I11" i="1" s="1"/>
  <c r="L8" i="2"/>
  <c r="N11" i="1" s="1"/>
  <c r="K8" i="2"/>
  <c r="M11" i="1" s="1"/>
  <c r="J8" i="2"/>
  <c r="L11" i="1" s="1"/>
  <c r="H11" i="1"/>
  <c r="K11" i="1"/>
  <c r="H8" i="2"/>
  <c r="J11" i="1" s="1"/>
  <c r="L7" i="2"/>
  <c r="J7" i="2"/>
  <c r="K7" i="2"/>
  <c r="G7" i="2"/>
  <c r="E10" i="1"/>
  <c r="G7" i="3"/>
  <c r="F10" i="1"/>
  <c r="I7" i="2"/>
  <c r="H7" i="2"/>
  <c r="C6" i="2"/>
  <c r="J7" i="3" l="1"/>
  <c r="K10" i="1" s="1"/>
  <c r="M7" i="3"/>
  <c r="N10" i="1" s="1"/>
  <c r="K7" i="3"/>
  <c r="L10" i="1" s="1"/>
  <c r="H7" i="3"/>
  <c r="I10" i="1" s="1"/>
  <c r="H10" i="1"/>
  <c r="L7" i="3"/>
  <c r="M10" i="1" s="1"/>
  <c r="I7" i="3"/>
  <c r="J10" i="1" s="1"/>
  <c r="D6" i="3"/>
  <c r="E19" i="2" l="1"/>
  <c r="B19" i="2"/>
  <c r="G9" i="1" l="1"/>
  <c r="C9" i="1"/>
  <c r="B9" i="1"/>
  <c r="B22" i="1" s="1"/>
  <c r="E6" i="3"/>
  <c r="G6" i="3" s="1"/>
  <c r="M6" i="3" l="1"/>
  <c r="L6" i="3"/>
  <c r="H6" i="3"/>
  <c r="K6" i="3"/>
  <c r="D9" i="1"/>
  <c r="C19" i="2"/>
  <c r="F9" i="1"/>
  <c r="D6" i="2"/>
  <c r="J6" i="3"/>
  <c r="I6" i="3"/>
  <c r="D19" i="2" l="1"/>
  <c r="F6" i="2"/>
  <c r="E9" i="1"/>
  <c r="K6" i="2" l="1"/>
  <c r="K19" i="2" s="1"/>
  <c r="J6" i="2"/>
  <c r="J19" i="2" s="1"/>
  <c r="G6" i="2"/>
  <c r="G19" i="2" s="1"/>
  <c r="L6" i="2"/>
  <c r="L19" i="2" s="1"/>
  <c r="H9" i="1"/>
  <c r="F19" i="2"/>
  <c r="I6" i="2"/>
  <c r="H6" i="2"/>
  <c r="N9" i="1" l="1"/>
  <c r="K9" i="1"/>
  <c r="I19" i="2"/>
  <c r="L9" i="1"/>
  <c r="I9" i="1"/>
  <c r="J9" i="1"/>
  <c r="H19" i="2"/>
  <c r="M9" i="1"/>
  <c r="G22" i="1"/>
  <c r="C22" i="1"/>
  <c r="C19" i="3"/>
  <c r="F19" i="3"/>
  <c r="D19" i="3" l="1"/>
  <c r="F22" i="1"/>
  <c r="D22" i="1"/>
  <c r="E19" i="3" l="1"/>
  <c r="E22" i="1"/>
  <c r="M19" i="3" l="1"/>
  <c r="L19" i="3"/>
  <c r="H19" i="3"/>
  <c r="K19" i="3"/>
  <c r="J19" i="3"/>
  <c r="G19" i="3"/>
  <c r="I19" i="3"/>
  <c r="H22" i="1"/>
  <c r="M22" i="1" l="1"/>
  <c r="K22" i="1"/>
  <c r="I22" i="1"/>
  <c r="L22" i="1"/>
  <c r="J22" i="1"/>
  <c r="N22" i="1"/>
</calcChain>
</file>

<file path=xl/sharedStrings.xml><?xml version="1.0" encoding="utf-8"?>
<sst xmlns="http://schemas.openxmlformats.org/spreadsheetml/2006/main" count="61" uniqueCount="37">
  <si>
    <t>Table
Games</t>
  </si>
  <si>
    <t>Video
Lottery</t>
  </si>
  <si>
    <t>State
Share</t>
  </si>
  <si>
    <t>Excess
Lottery
Fund</t>
  </si>
  <si>
    <t>Interest</t>
  </si>
  <si>
    <t>White
Sulphur
Springs</t>
  </si>
  <si>
    <t>Municipalities
In Greenbrier
County</t>
  </si>
  <si>
    <t>All Other
Counties *</t>
  </si>
  <si>
    <t>All Other
Municipalities *</t>
  </si>
  <si>
    <t>WEST VIRGINIA LOTTERY</t>
  </si>
  <si>
    <t>Gross
Receipts</t>
  </si>
  <si>
    <t>*  To get an even distribution amount there will be cents carried forward to each month.</t>
  </si>
  <si>
    <t>Admin
Expense</t>
  </si>
  <si>
    <t>Gross
Revenue</t>
  </si>
  <si>
    <t>Net
Revenue</t>
  </si>
  <si>
    <t>Net 
Receipts</t>
  </si>
  <si>
    <t>Net
Receipts / 
Net Revenue</t>
  </si>
  <si>
    <t>GREENBRIER HISTORIC RESORT MONTHLY DISTRIBUTION SUMMARY</t>
  </si>
  <si>
    <t>Greenbrier
County</t>
  </si>
  <si>
    <t>July 2023</t>
  </si>
  <si>
    <t>FISCAL YEAR 2024</t>
  </si>
  <si>
    <t>FY 2023</t>
  </si>
  <si>
    <t>August 2023</t>
  </si>
  <si>
    <t>September 2023</t>
  </si>
  <si>
    <t>October 2023</t>
  </si>
  <si>
    <t>November 2023</t>
  </si>
  <si>
    <t>December 2023</t>
  </si>
  <si>
    <t>January 2024</t>
  </si>
  <si>
    <t>February 2024</t>
  </si>
  <si>
    <t>All Other
Counties (54) *</t>
  </si>
  <si>
    <t>Municipalities
In Greenbrier
County (7) *</t>
  </si>
  <si>
    <t>March 2024</t>
  </si>
  <si>
    <t>All Other
Municipalities (223/221) *</t>
  </si>
  <si>
    <t>April 2024</t>
  </si>
  <si>
    <t>May 2024</t>
  </si>
  <si>
    <t>June 2024</t>
  </si>
  <si>
    <t>FOR THE MONTH ENDING JUNE 30,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</si>
</sst>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 applyAlignment="1"/>
    <xf numFmtId="0" fontId="3" fillId="0" borderId="0" xfId="0" applyFont="1"/>
    <xf numFmtId="0" fontId="0" fillId="0" borderId="0" xfId="0" applyFont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17" fontId="0" fillId="0" borderId="0" xfId="0" quotePrefix="1" applyNumberFormat="1" applyFont="1"/>
    <xf numFmtId="44" fontId="0" fillId="0" borderId="0" xfId="1" applyFont="1"/>
    <xf numFmtId="44" fontId="0" fillId="0" borderId="2" xfId="1" applyFont="1" applyBorder="1"/>
    <xf numFmtId="0" fontId="5" fillId="0" borderId="0" xfId="0" applyFont="1"/>
    <xf numFmtId="0" fontId="0" fillId="0" borderId="0" xfId="0" quotePrefix="1" applyFont="1"/>
    <xf numFmtId="44" fontId="0" fillId="0" borderId="0" xfId="1" applyNumberFormat="1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tabSelected="1" workbookViewId="0">
      <selection sqref="A1:N1"/>
    </sheetView>
  </sheetViews>
  <sheetFormatPr defaultRowHeight="15" customHeight="1" x14ac:dyDescent="0.2"/>
  <cols>
    <col min="1" max="1" width="16.140625" style="2" customWidth="1"/>
    <col min="2" max="3" width="14.28515625" style="2" bestFit="1" customWidth="1"/>
    <col min="4" max="4" width="14.85546875" style="2" customWidth="1"/>
    <col min="5" max="5" width="13" style="2" customWidth="1"/>
    <col min="6" max="7" width="11.7109375" style="2" customWidth="1"/>
    <col min="8" max="8" width="15.140625" style="2" customWidth="1"/>
    <col min="9" max="9" width="14.7109375" style="2" customWidth="1"/>
    <col min="10" max="10" width="13.28515625" style="2" customWidth="1"/>
    <col min="11" max="11" width="11.7109375" style="2" customWidth="1"/>
    <col min="12" max="12" width="13.7109375" style="2" bestFit="1" customWidth="1"/>
    <col min="13" max="13" width="11.7109375" style="2" customWidth="1"/>
    <col min="14" max="14" width="15.140625" style="2" bestFit="1" customWidth="1"/>
    <col min="15" max="16384" width="9.140625" style="2"/>
  </cols>
  <sheetData>
    <row r="1" spans="1:17" ht="18.75" x14ac:dyDescent="0.3">
      <c r="A1" s="12" t="s">
        <v>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"/>
      <c r="P1" s="1"/>
      <c r="Q1" s="1"/>
    </row>
    <row r="2" spans="1:17" ht="15.75" x14ac:dyDescent="0.25">
      <c r="A2" s="13" t="s">
        <v>17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"/>
      <c r="P2" s="1"/>
      <c r="Q2" s="1"/>
    </row>
    <row r="3" spans="1:17" ht="15.75" x14ac:dyDescent="0.25">
      <c r="A3" s="13" t="s">
        <v>36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"/>
      <c r="P3" s="1"/>
      <c r="Q3" s="1"/>
    </row>
    <row r="4" spans="1:17" ht="15.75" x14ac:dyDescent="0.25">
      <c r="A4" s="13" t="s">
        <v>20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"/>
      <c r="P4" s="1"/>
      <c r="Q4" s="1"/>
    </row>
    <row r="7" spans="1:17" s="3" customFormat="1" ht="45" x14ac:dyDescent="0.25">
      <c r="B7" s="4" t="s">
        <v>0</v>
      </c>
      <c r="C7" s="4" t="s">
        <v>1</v>
      </c>
      <c r="D7" s="4" t="s">
        <v>2</v>
      </c>
      <c r="E7" s="4" t="s">
        <v>12</v>
      </c>
      <c r="F7" s="4" t="s">
        <v>3</v>
      </c>
      <c r="G7" s="5" t="s">
        <v>4</v>
      </c>
      <c r="H7" s="4" t="s">
        <v>16</v>
      </c>
      <c r="I7" s="4" t="s">
        <v>3</v>
      </c>
      <c r="J7" s="4" t="s">
        <v>18</v>
      </c>
      <c r="K7" s="4" t="s">
        <v>5</v>
      </c>
      <c r="L7" s="4" t="s">
        <v>30</v>
      </c>
      <c r="M7" s="4" t="s">
        <v>29</v>
      </c>
      <c r="N7" s="4" t="s">
        <v>32</v>
      </c>
    </row>
    <row r="8" spans="1:17" s="3" customFormat="1" ht="15" customHeight="1" x14ac:dyDescent="0.25"/>
    <row r="9" spans="1:17" s="3" customFormat="1" ht="15" customHeight="1" x14ac:dyDescent="0.25">
      <c r="A9" s="6" t="s">
        <v>19</v>
      </c>
      <c r="B9" s="7">
        <f>'Table Games'!B6</f>
        <v>563025.5</v>
      </c>
      <c r="C9" s="7">
        <f>'Video Lottery'!B6</f>
        <v>438820.27000000014</v>
      </c>
      <c r="D9" s="7">
        <f>'Table Games'!C6+'Video Lottery'!C6</f>
        <v>326882.92</v>
      </c>
      <c r="E9" s="7">
        <f>'Table Games'!D6+'Video Lottery'!D6</f>
        <v>49032.44</v>
      </c>
      <c r="F9" s="7">
        <f>'Video Lottery'!E6</f>
        <v>3949.38</v>
      </c>
      <c r="G9" s="7">
        <f>'Table Games'!E6+'Video Lottery'!F6</f>
        <v>6406.3099999999995</v>
      </c>
      <c r="H9" s="7">
        <f>'Table Games'!F6+'Video Lottery'!G6</f>
        <v>280307.40999999997</v>
      </c>
      <c r="I9" s="7">
        <f>'Table Games'!G6+'Video Lottery'!H6</f>
        <v>241064.34999999998</v>
      </c>
      <c r="J9" s="7">
        <f>'Table Games'!H6+'Video Lottery'!I6</f>
        <v>11212.3</v>
      </c>
      <c r="K9" s="7">
        <f>'Table Games'!I6+'Video Lottery'!J6</f>
        <v>7007.6900000000005</v>
      </c>
      <c r="L9" s="7">
        <f>'Table Games'!J6+'Video Lottery'!K6</f>
        <v>7007.7000000000007</v>
      </c>
      <c r="M9" s="7">
        <f>'Table Games'!K6+'Video Lottery'!L6</f>
        <v>7008.12</v>
      </c>
      <c r="N9" s="7">
        <f>'Table Games'!L6+'Video Lottery'!M6</f>
        <v>7008.8899999999994</v>
      </c>
    </row>
    <row r="10" spans="1:17" s="3" customFormat="1" ht="15" customHeight="1" x14ac:dyDescent="0.25">
      <c r="A10" s="6" t="str">
        <f>'Video Lottery'!A7</f>
        <v>August 2023</v>
      </c>
      <c r="B10" s="7">
        <f>'Table Games'!B7</f>
        <v>952143.75</v>
      </c>
      <c r="C10" s="7">
        <f>'Video Lottery'!B7</f>
        <v>361804.87000000011</v>
      </c>
      <c r="D10" s="7">
        <f>'Table Games'!C7+'Video Lottery'!C7</f>
        <v>415892.9</v>
      </c>
      <c r="E10" s="7">
        <f>'Table Games'!D7+'Video Lottery'!D7</f>
        <v>62383.93</v>
      </c>
      <c r="F10" s="7">
        <f>'Video Lottery'!E7</f>
        <v>3256.24</v>
      </c>
      <c r="G10" s="7">
        <f>'Table Games'!E7+'Video Lottery'!F7</f>
        <v>6298.67</v>
      </c>
      <c r="H10" s="7">
        <f>'Table Games'!F7+'Video Lottery'!G7</f>
        <v>356551.4</v>
      </c>
      <c r="I10" s="7">
        <f>'Table Games'!G7+'Video Lottery'!H7</f>
        <v>306634.21999999997</v>
      </c>
      <c r="J10" s="7">
        <f>'Table Games'!H7+'Video Lottery'!I7</f>
        <v>14262.060000000001</v>
      </c>
      <c r="K10" s="7">
        <f>'Table Games'!I7+'Video Lottery'!J7</f>
        <v>8913.7799999999988</v>
      </c>
      <c r="L10" s="7">
        <f>'Table Games'!J7+'Video Lottery'!K7</f>
        <v>8913.73</v>
      </c>
      <c r="M10" s="7">
        <f>'Table Games'!K7+'Video Lottery'!L7</f>
        <v>8913.7799999999988</v>
      </c>
      <c r="N10" s="7">
        <f>'Table Games'!L7+'Video Lottery'!M7</f>
        <v>8913.3100000000013</v>
      </c>
    </row>
    <row r="11" spans="1:17" s="3" customFormat="1" ht="15" customHeight="1" x14ac:dyDescent="0.25">
      <c r="A11" s="6" t="str">
        <f>'Video Lottery'!A8</f>
        <v>September 2023</v>
      </c>
      <c r="B11" s="7">
        <f>'Table Games'!B8</f>
        <v>614940.5</v>
      </c>
      <c r="C11" s="7">
        <f>'Video Lottery'!B8</f>
        <v>328190.04999999981</v>
      </c>
      <c r="D11" s="7">
        <f>'Table Games'!C8+'Video Lottery'!C8</f>
        <v>302630.56999999995</v>
      </c>
      <c r="E11" s="7">
        <f>'Table Games'!D8+'Video Lottery'!D8</f>
        <v>45394.58</v>
      </c>
      <c r="F11" s="7">
        <f>'Video Lottery'!E8</f>
        <v>2953.71</v>
      </c>
      <c r="G11" s="7">
        <f>'Table Games'!E8+'Video Lottery'!F8</f>
        <v>6544.92</v>
      </c>
      <c r="H11" s="7">
        <f>'Table Games'!F8+'Video Lottery'!G8</f>
        <v>260827.19999999995</v>
      </c>
      <c r="I11" s="7">
        <f>'Table Games'!G8+'Video Lottery'!H8</f>
        <v>224311.39</v>
      </c>
      <c r="J11" s="7">
        <f>'Table Games'!H8+'Video Lottery'!I8</f>
        <v>10433.09</v>
      </c>
      <c r="K11" s="7">
        <f>'Table Games'!I8+'Video Lottery'!J8</f>
        <v>6520.68</v>
      </c>
      <c r="L11" s="7">
        <f>'Table Games'!J8+'Video Lottery'!K8</f>
        <v>6520.71</v>
      </c>
      <c r="M11" s="7">
        <f>'Table Games'!K8+'Video Lottery'!L8</f>
        <v>6520.5</v>
      </c>
      <c r="N11" s="7">
        <f>'Table Games'!L8+'Video Lottery'!M8</f>
        <v>6520.52</v>
      </c>
    </row>
    <row r="12" spans="1:17" s="3" customFormat="1" ht="15" customHeight="1" x14ac:dyDescent="0.25">
      <c r="A12" s="6" t="str">
        <f>'Video Lottery'!A9</f>
        <v>October 2023</v>
      </c>
      <c r="B12" s="7">
        <f>'Table Games'!B9</f>
        <v>384409.5</v>
      </c>
      <c r="C12" s="7">
        <f>'Video Lottery'!B9</f>
        <v>465886.59</v>
      </c>
      <c r="D12" s="7">
        <f>'Table Games'!C9+'Video Lottery'!C9</f>
        <v>283042.04000000004</v>
      </c>
      <c r="E12" s="7">
        <f>'Table Games'!D9+'Video Lottery'!D9</f>
        <v>42456.31</v>
      </c>
      <c r="F12" s="7">
        <f>'Video Lottery'!E9</f>
        <v>4192.9799999999996</v>
      </c>
      <c r="G12" s="7">
        <f>'Table Games'!E9+'Video Lottery'!F9</f>
        <v>6198.6100000000006</v>
      </c>
      <c r="H12" s="7">
        <f>'Table Games'!F9+'Video Lottery'!G9</f>
        <v>242591.35999999999</v>
      </c>
      <c r="I12" s="7">
        <f>'Table Games'!G9+'Video Lottery'!H9</f>
        <v>208628.58</v>
      </c>
      <c r="J12" s="7">
        <f>'Table Games'!H9+'Video Lottery'!I9</f>
        <v>9703.66</v>
      </c>
      <c r="K12" s="7">
        <f>'Table Games'!I9+'Video Lottery'!J9</f>
        <v>6064.7800000000007</v>
      </c>
      <c r="L12" s="7">
        <f>'Table Games'!J9+'Video Lottery'!K9</f>
        <v>6064.8000000000011</v>
      </c>
      <c r="M12" s="7">
        <f>'Table Games'!K9+'Video Lottery'!L9</f>
        <v>6064.74</v>
      </c>
      <c r="N12" s="7">
        <f>'Table Games'!L9+'Video Lottery'!M9</f>
        <v>6063.3700000000008</v>
      </c>
    </row>
    <row r="13" spans="1:17" s="3" customFormat="1" ht="15" customHeight="1" x14ac:dyDescent="0.25">
      <c r="A13" s="6" t="str">
        <f>'Video Lottery'!A10</f>
        <v>November 2023</v>
      </c>
      <c r="B13" s="7">
        <f>'Table Games'!B10</f>
        <v>630364</v>
      </c>
      <c r="C13" s="7">
        <f>'Video Lottery'!B10</f>
        <v>305737.11000000034</v>
      </c>
      <c r="D13" s="7">
        <f>'Table Games'!C10+'Video Lottery'!C10</f>
        <v>299174.51</v>
      </c>
      <c r="E13" s="7">
        <f>'Table Games'!D10+'Video Lottery'!D10</f>
        <v>44876.18</v>
      </c>
      <c r="F13" s="7">
        <f>'Video Lottery'!E10</f>
        <v>2751.63</v>
      </c>
      <c r="G13" s="7">
        <f>'Table Games'!E10+'Video Lottery'!F10</f>
        <v>6213.3099999999995</v>
      </c>
      <c r="H13" s="7">
        <f>'Table Games'!F10+'Video Lottery'!G10</f>
        <v>257760.01</v>
      </c>
      <c r="I13" s="7">
        <f>'Table Games'!G10+'Video Lottery'!H10</f>
        <v>221673.61</v>
      </c>
      <c r="J13" s="7">
        <f>'Table Games'!H10+'Video Lottery'!I10</f>
        <v>10310.4</v>
      </c>
      <c r="K13" s="7">
        <f>'Table Games'!I10+'Video Lottery'!J10</f>
        <v>6444</v>
      </c>
      <c r="L13" s="7">
        <f>'Table Games'!J10+'Video Lottery'!K10</f>
        <v>6443.99</v>
      </c>
      <c r="M13" s="7">
        <f>'Table Games'!K10+'Video Lottery'!L10</f>
        <v>6443.82</v>
      </c>
      <c r="N13" s="7">
        <f>'Table Games'!L10+'Video Lottery'!M10</f>
        <v>6444.7000000000007</v>
      </c>
    </row>
    <row r="14" spans="1:17" s="3" customFormat="1" ht="15" customHeight="1" x14ac:dyDescent="0.25">
      <c r="A14" s="6" t="str">
        <f>'Video Lottery'!A11</f>
        <v>December 2023</v>
      </c>
      <c r="B14" s="7">
        <f>'Table Games'!B11</f>
        <v>578158</v>
      </c>
      <c r="C14" s="7">
        <f>'Video Lottery'!B11</f>
        <v>576324.01</v>
      </c>
      <c r="D14" s="7">
        <f>'Table Games'!C11+'Video Lottery'!C11</f>
        <v>380924.06000000006</v>
      </c>
      <c r="E14" s="7">
        <f>'Table Games'!D11+'Video Lottery'!D11</f>
        <v>57138.61</v>
      </c>
      <c r="F14" s="7">
        <f>'Video Lottery'!E11</f>
        <v>5186.92</v>
      </c>
      <c r="G14" s="7">
        <f>'Table Games'!E11+'Video Lottery'!F11</f>
        <v>7105.56</v>
      </c>
      <c r="H14" s="7">
        <f>'Table Games'!F11+'Video Lottery'!G11</f>
        <v>325704.08999999997</v>
      </c>
      <c r="I14" s="7">
        <f>'Table Games'!G11+'Video Lottery'!H11</f>
        <v>280105.49</v>
      </c>
      <c r="J14" s="7">
        <f>'Table Games'!H11+'Video Lottery'!I11</f>
        <v>13028.16</v>
      </c>
      <c r="K14" s="7">
        <f>'Table Games'!I11+'Video Lottery'!J11</f>
        <v>8142.61</v>
      </c>
      <c r="L14" s="7">
        <f>'Table Games'!J11+'Video Lottery'!K11</f>
        <v>8142.61</v>
      </c>
      <c r="M14" s="7">
        <f>'Table Games'!K11+'Video Lottery'!L11</f>
        <v>8142.66</v>
      </c>
      <c r="N14" s="7">
        <f>'Table Games'!L11+'Video Lottery'!M11</f>
        <v>8141.73</v>
      </c>
    </row>
    <row r="15" spans="1:17" s="3" customFormat="1" ht="15" customHeight="1" x14ac:dyDescent="0.25">
      <c r="A15" s="6" t="str">
        <f>'Video Lottery'!A12</f>
        <v>January 2024</v>
      </c>
      <c r="B15" s="7">
        <f>'Table Games'!B12</f>
        <v>398854</v>
      </c>
      <c r="C15" s="7">
        <f>'Video Lottery'!B12</f>
        <v>313929.92</v>
      </c>
      <c r="D15" s="7">
        <f>'Table Games'!C12+'Video Lottery'!C12</f>
        <v>232670.97999999998</v>
      </c>
      <c r="E15" s="7">
        <f>'Table Games'!D12+'Video Lottery'!D12</f>
        <v>34900.65</v>
      </c>
      <c r="F15" s="7">
        <f>'Video Lottery'!E12</f>
        <v>2825.37</v>
      </c>
      <c r="G15" s="7">
        <f>'Table Games'!E12+'Video Lottery'!F12</f>
        <v>6664.43</v>
      </c>
      <c r="H15" s="7">
        <f>'Table Games'!F12+'Video Lottery'!G12</f>
        <v>201609.39</v>
      </c>
      <c r="I15" s="7">
        <f>'Table Games'!G12+'Video Lottery'!H12</f>
        <v>173384.05</v>
      </c>
      <c r="J15" s="7">
        <f>'Table Games'!H12+'Video Lottery'!I12</f>
        <v>8064.380000000001</v>
      </c>
      <c r="K15" s="7">
        <f>'Table Games'!I12+'Video Lottery'!J12</f>
        <v>5040.24</v>
      </c>
      <c r="L15" s="7">
        <f>'Table Games'!J12+'Video Lottery'!K12</f>
        <v>5040.2099999999991</v>
      </c>
      <c r="M15" s="7">
        <f>'Table Games'!K12+'Video Lottery'!L12</f>
        <v>5040.3599999999997</v>
      </c>
      <c r="N15" s="7">
        <f>'Table Games'!L12+'Video Lottery'!M12</f>
        <v>5042.03</v>
      </c>
    </row>
    <row r="16" spans="1:17" s="3" customFormat="1" ht="15" customHeight="1" x14ac:dyDescent="0.25">
      <c r="A16" s="6" t="str">
        <f>'Video Lottery'!A13</f>
        <v>February 2024</v>
      </c>
      <c r="B16" s="7">
        <f>'Table Games'!B13</f>
        <v>368398</v>
      </c>
      <c r="C16" s="7">
        <f>'Video Lottery'!B13</f>
        <v>372074.64</v>
      </c>
      <c r="D16" s="7">
        <f>'Table Games'!C13+'Video Lottery'!C13</f>
        <v>244466.19</v>
      </c>
      <c r="E16" s="7">
        <f>'Table Games'!D13+'Video Lottery'!D13</f>
        <v>36669.93</v>
      </c>
      <c r="F16" s="7">
        <f>'Video Lottery'!E13</f>
        <v>3348.67</v>
      </c>
      <c r="G16" s="7">
        <f>'Table Games'!E13+'Video Lottery'!F13</f>
        <v>6453.15</v>
      </c>
      <c r="H16" s="7">
        <f>'Table Games'!F13+'Video Lottery'!G13</f>
        <v>210900.74</v>
      </c>
      <c r="I16" s="7">
        <f>'Table Games'!G13+'Video Lottery'!H13</f>
        <v>181374.63</v>
      </c>
      <c r="J16" s="7">
        <f>'Table Games'!H13+'Video Lottery'!I13</f>
        <v>8436.0300000000007</v>
      </c>
      <c r="K16" s="7">
        <f>'Table Games'!I13+'Video Lottery'!J13</f>
        <v>5272.52</v>
      </c>
      <c r="L16" s="7">
        <f>'Table Games'!J13+'Video Lottery'!K13</f>
        <v>5272.5400000000009</v>
      </c>
      <c r="M16" s="7">
        <f>'Table Games'!K13+'Video Lottery'!L13</f>
        <v>5272.56</v>
      </c>
      <c r="N16" s="7">
        <f>'Table Games'!L13+'Video Lottery'!M13</f>
        <v>5271.72</v>
      </c>
    </row>
    <row r="17" spans="1:14" s="3" customFormat="1" ht="15" customHeight="1" x14ac:dyDescent="0.25">
      <c r="A17" s="6" t="str">
        <f>'Video Lottery'!A14</f>
        <v>March 2024</v>
      </c>
      <c r="B17" s="7">
        <f>'Table Games'!B14</f>
        <v>401364.5</v>
      </c>
      <c r="C17" s="7">
        <f>'Video Lottery'!B14</f>
        <v>206607.1699999999</v>
      </c>
      <c r="D17" s="7">
        <f>'Table Games'!C14+'Video Lottery'!C14</f>
        <v>194787.87</v>
      </c>
      <c r="E17" s="7">
        <f>'Table Games'!D14+'Video Lottery'!D14</f>
        <v>29218.18</v>
      </c>
      <c r="F17" s="7">
        <f>'Video Lottery'!E14</f>
        <v>1859.46</v>
      </c>
      <c r="G17" s="7">
        <f>'Table Games'!E14+'Video Lottery'!F14</f>
        <v>5938.46</v>
      </c>
      <c r="H17" s="7">
        <f>'Table Games'!F14+'Video Lottery'!G14</f>
        <v>169648.69</v>
      </c>
      <c r="I17" s="7">
        <f>'Table Games'!G14+'Video Lottery'!H14</f>
        <v>145897.85999999999</v>
      </c>
      <c r="J17" s="7">
        <f>'Table Games'!H14+'Video Lottery'!I14</f>
        <v>6785.95</v>
      </c>
      <c r="K17" s="7">
        <f>'Table Games'!I14+'Video Lottery'!J14</f>
        <v>4241.2199999999993</v>
      </c>
      <c r="L17" s="7">
        <f>'Table Games'!J14+'Video Lottery'!K14</f>
        <v>4241.2299999999996</v>
      </c>
      <c r="M17" s="7">
        <f>'Table Games'!K14+'Video Lottery'!L14</f>
        <v>4241.16</v>
      </c>
      <c r="N17" s="7">
        <f>'Table Games'!L14+'Video Lottery'!M14</f>
        <v>4240.99</v>
      </c>
    </row>
    <row r="18" spans="1:14" s="3" customFormat="1" ht="15" customHeight="1" x14ac:dyDescent="0.25">
      <c r="A18" s="6" t="str">
        <f>'Video Lottery'!A15</f>
        <v>April 2024</v>
      </c>
      <c r="B18" s="7">
        <f>'Table Games'!B15</f>
        <v>239111</v>
      </c>
      <c r="C18" s="7">
        <f>'Video Lottery'!B15</f>
        <v>204552.57999999996</v>
      </c>
      <c r="D18" s="7">
        <f>'Table Games'!C15+'Video Lottery'!C15</f>
        <v>145372.26</v>
      </c>
      <c r="E18" s="7">
        <f>'Table Games'!D15+'Video Lottery'!D15</f>
        <v>21805.84</v>
      </c>
      <c r="F18" s="7">
        <f>'Video Lottery'!E15</f>
        <v>1840.97</v>
      </c>
      <c r="G18" s="7">
        <f>'Table Games'!E15+'Video Lottery'!F15</f>
        <v>4456.72</v>
      </c>
      <c r="H18" s="7">
        <f>'Table Games'!F15+'Video Lottery'!G15</f>
        <v>126182.17</v>
      </c>
      <c r="I18" s="7">
        <f>'Table Games'!G15+'Video Lottery'!H15</f>
        <v>108516.68</v>
      </c>
      <c r="J18" s="7">
        <f>'Table Games'!H15+'Video Lottery'!I15</f>
        <v>5047.29</v>
      </c>
      <c r="K18" s="7">
        <f>'Table Games'!I15+'Video Lottery'!J15</f>
        <v>3154.55</v>
      </c>
      <c r="L18" s="7">
        <f>'Table Games'!J15+'Video Lottery'!K15</f>
        <v>3154.55</v>
      </c>
      <c r="M18" s="7">
        <f>'Table Games'!K15+'Video Lottery'!L15</f>
        <v>3154.68</v>
      </c>
      <c r="N18" s="7">
        <f>'Table Games'!L15+'Video Lottery'!M15</f>
        <v>3155.88</v>
      </c>
    </row>
    <row r="19" spans="1:14" s="3" customFormat="1" ht="15" customHeight="1" x14ac:dyDescent="0.25">
      <c r="A19" s="6" t="str">
        <f>'Video Lottery'!A16</f>
        <v>May 2024</v>
      </c>
      <c r="B19" s="7">
        <f>'Table Games'!B16</f>
        <v>639178.99699999997</v>
      </c>
      <c r="C19" s="7">
        <f>'Video Lottery'!B16</f>
        <v>241895.92</v>
      </c>
      <c r="D19" s="7">
        <f>'Table Games'!C16+'Video Lottery'!C16</f>
        <v>278836.23</v>
      </c>
      <c r="E19" s="7">
        <f>'Table Games'!D16+'Video Lottery'!D16</f>
        <v>41825.440000000002</v>
      </c>
      <c r="F19" s="7">
        <f>'Video Lottery'!E16</f>
        <v>2177.06</v>
      </c>
      <c r="G19" s="7">
        <f>'Table Games'!E16+'Video Lottery'!F16</f>
        <v>4716.26</v>
      </c>
      <c r="H19" s="7">
        <f>'Table Games'!F16+'Video Lottery'!G16</f>
        <v>239549.99000000002</v>
      </c>
      <c r="I19" s="7">
        <f>'Table Games'!G16+'Video Lottery'!H16</f>
        <v>206012.99</v>
      </c>
      <c r="J19" s="7">
        <f>'Table Games'!H16+'Video Lottery'!I16</f>
        <v>9582</v>
      </c>
      <c r="K19" s="7">
        <f>'Table Games'!I16+'Video Lottery'!J16</f>
        <v>5988.75</v>
      </c>
      <c r="L19" s="7">
        <f>'Table Games'!J16+'Video Lottery'!K16</f>
        <v>5988.7100000000009</v>
      </c>
      <c r="M19" s="7">
        <f>'Table Games'!K16+'Video Lottery'!L16</f>
        <v>5988.6</v>
      </c>
      <c r="N19" s="7">
        <f>'Table Games'!L16+'Video Lottery'!M16</f>
        <v>5986.8899999999994</v>
      </c>
    </row>
    <row r="20" spans="1:14" s="3" customFormat="1" ht="15" customHeight="1" x14ac:dyDescent="0.25">
      <c r="A20" s="6" t="str">
        <f>'Video Lottery'!A17</f>
        <v>June 2024</v>
      </c>
      <c r="B20" s="7">
        <f>'Table Games'!B17</f>
        <v>286614.5</v>
      </c>
      <c r="C20" s="7">
        <f>'Video Lottery'!B17</f>
        <v>201191.42000000007</v>
      </c>
      <c r="D20" s="7">
        <f>'Table Games'!C17+'Video Lottery'!C17</f>
        <v>158413.31</v>
      </c>
      <c r="E20" s="7">
        <f>'Table Games'!D17+'Video Lottery'!D17</f>
        <v>23761.989999999998</v>
      </c>
      <c r="F20" s="7">
        <f>'Video Lottery'!E17</f>
        <v>1810.72</v>
      </c>
      <c r="G20" s="7">
        <f>'Table Games'!E17+'Video Lottery'!F17</f>
        <v>4713.42</v>
      </c>
      <c r="H20" s="7">
        <f>'Table Games'!F17+'Video Lottery'!G17</f>
        <v>137554.02000000002</v>
      </c>
      <c r="I20" s="7">
        <f>'Table Games'!G17+'Video Lottery'!H17</f>
        <v>118296.42000000001</v>
      </c>
      <c r="J20" s="7">
        <f>'Table Games'!H17+'Video Lottery'!I17</f>
        <v>5502.16</v>
      </c>
      <c r="K20" s="7">
        <f>'Table Games'!I17+'Video Lottery'!J17</f>
        <v>3438.8599999999997</v>
      </c>
      <c r="L20" s="7">
        <f>'Table Games'!J17+'Video Lottery'!K17</f>
        <v>3438.89</v>
      </c>
      <c r="M20" s="7">
        <f>'Table Games'!K17+'Video Lottery'!L17</f>
        <v>3438.7200000000003</v>
      </c>
      <c r="N20" s="7">
        <f>'Table Games'!L17+'Video Lottery'!M17</f>
        <v>3438.76</v>
      </c>
    </row>
    <row r="21" spans="1:14" s="3" customFormat="1" ht="15" customHeight="1" x14ac:dyDescent="0.25"/>
    <row r="22" spans="1:14" s="3" customFormat="1" ht="15" customHeight="1" thickBot="1" x14ac:dyDescent="0.3">
      <c r="B22" s="8">
        <f t="shared" ref="B22:N22" si="0">SUM(B9:B21)</f>
        <v>6056562.2469999995</v>
      </c>
      <c r="C22" s="8">
        <f t="shared" si="0"/>
        <v>4017014.5500000003</v>
      </c>
      <c r="D22" s="8">
        <f t="shared" si="0"/>
        <v>3263093.8400000008</v>
      </c>
      <c r="E22" s="8">
        <f t="shared" si="0"/>
        <v>489464.08</v>
      </c>
      <c r="F22" s="8">
        <f t="shared" si="0"/>
        <v>36153.11</v>
      </c>
      <c r="G22" s="8">
        <f t="shared" si="0"/>
        <v>71709.819999999992</v>
      </c>
      <c r="H22" s="8">
        <f t="shared" si="0"/>
        <v>2809186.4700000007</v>
      </c>
      <c r="I22" s="8">
        <f t="shared" si="0"/>
        <v>2415900.2699999996</v>
      </c>
      <c r="J22" s="8">
        <f t="shared" si="0"/>
        <v>112367.48</v>
      </c>
      <c r="K22" s="8">
        <f t="shared" si="0"/>
        <v>70229.680000000008</v>
      </c>
      <c r="L22" s="8">
        <f t="shared" si="0"/>
        <v>70229.670000000013</v>
      </c>
      <c r="M22" s="8">
        <f t="shared" si="0"/>
        <v>70229.7</v>
      </c>
      <c r="N22" s="8">
        <f t="shared" si="0"/>
        <v>70228.789999999994</v>
      </c>
    </row>
    <row r="23" spans="1:14" ht="15" customHeight="1" thickTop="1" x14ac:dyDescent="0.2"/>
    <row r="24" spans="1:14" ht="15" customHeight="1" x14ac:dyDescent="0.2">
      <c r="A24" s="9" t="s">
        <v>11</v>
      </c>
    </row>
  </sheetData>
  <mergeCells count="4">
    <mergeCell ref="A1:N1"/>
    <mergeCell ref="A2:N2"/>
    <mergeCell ref="A3:N3"/>
    <mergeCell ref="A4:N4"/>
  </mergeCells>
  <pageMargins left="0.25" right="0.25" top="0.5" bottom="0.25" header="0" footer="0"/>
  <pageSetup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workbookViewId="0">
      <pane ySplit="3" topLeftCell="A4" activePane="bottomLeft" state="frozen"/>
      <selection pane="bottomLeft" activeCell="A19" sqref="A19"/>
    </sheetView>
  </sheetViews>
  <sheetFormatPr defaultRowHeight="15" customHeight="1" x14ac:dyDescent="0.25"/>
  <cols>
    <col min="1" max="1" width="15.7109375" style="3" customWidth="1"/>
    <col min="2" max="3" width="15" style="3" bestFit="1" customWidth="1"/>
    <col min="4" max="4" width="13.28515625" style="3" bestFit="1" customWidth="1"/>
    <col min="5" max="5" width="13.7109375" style="3" customWidth="1"/>
    <col min="6" max="6" width="11.7109375" style="3" customWidth="1"/>
    <col min="7" max="7" width="15" style="3" bestFit="1" customWidth="1"/>
    <col min="8" max="8" width="14.28515625" style="3" bestFit="1" customWidth="1"/>
    <col min="9" max="10" width="11.7109375" style="3" customWidth="1"/>
    <col min="11" max="11" width="13.7109375" style="3" bestFit="1" customWidth="1"/>
    <col min="12" max="12" width="11.7109375" style="3" customWidth="1"/>
    <col min="13" max="13" width="15.140625" style="3" bestFit="1" customWidth="1"/>
    <col min="14" max="16384" width="9.140625" style="3"/>
  </cols>
  <sheetData>
    <row r="1" spans="1:13" ht="45" x14ac:dyDescent="0.25">
      <c r="B1" s="4" t="s">
        <v>13</v>
      </c>
      <c r="C1" s="4" t="s">
        <v>2</v>
      </c>
      <c r="D1" s="4" t="s">
        <v>12</v>
      </c>
      <c r="E1" s="4" t="s">
        <v>3</v>
      </c>
      <c r="F1" s="5" t="s">
        <v>4</v>
      </c>
      <c r="G1" s="4" t="s">
        <v>14</v>
      </c>
      <c r="H1" s="4" t="s">
        <v>3</v>
      </c>
      <c r="I1" s="4" t="s">
        <v>18</v>
      </c>
      <c r="J1" s="4" t="s">
        <v>5</v>
      </c>
      <c r="K1" s="4" t="s">
        <v>6</v>
      </c>
      <c r="L1" s="4" t="s">
        <v>7</v>
      </c>
      <c r="M1" s="4" t="s">
        <v>8</v>
      </c>
    </row>
    <row r="2" spans="1:13" ht="15" customHeight="1" x14ac:dyDescent="0.25">
      <c r="A2" s="6" t="s">
        <v>21</v>
      </c>
      <c r="B2" s="11">
        <v>4106053.62</v>
      </c>
      <c r="C2" s="11">
        <v>1478179.22</v>
      </c>
      <c r="D2" s="11">
        <v>221726.87999999998</v>
      </c>
      <c r="E2" s="11">
        <v>36954.47</v>
      </c>
      <c r="F2" s="11">
        <v>24802.589999999997</v>
      </c>
      <c r="G2" s="11">
        <v>1244300.46</v>
      </c>
      <c r="H2" s="11">
        <v>1070098.3999999999</v>
      </c>
      <c r="I2" s="11">
        <v>49772.020000000004</v>
      </c>
      <c r="J2" s="11">
        <v>31107.509999999995</v>
      </c>
      <c r="K2" s="11">
        <v>31107.520000000004</v>
      </c>
      <c r="L2" s="11">
        <v>31107.37</v>
      </c>
      <c r="M2" s="11">
        <v>31107.18</v>
      </c>
    </row>
    <row r="4" spans="1:13" ht="15" customHeight="1" x14ac:dyDescent="0.25">
      <c r="A4" s="14" t="s">
        <v>20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</row>
    <row r="6" spans="1:13" ht="15" customHeight="1" x14ac:dyDescent="0.25">
      <c r="A6" s="6" t="s">
        <v>19</v>
      </c>
      <c r="B6" s="7">
        <v>438820.27000000014</v>
      </c>
      <c r="C6" s="7">
        <f>ROUND(B6*0.36,2)-0.03</f>
        <v>157975.26999999999</v>
      </c>
      <c r="D6" s="7">
        <f t="shared" ref="D6:D11" si="0">ROUND(C6*0.15,2)</f>
        <v>23696.29</v>
      </c>
      <c r="E6" s="7">
        <f t="shared" ref="E6:E17" si="1">ROUND($C6*0.025,2)</f>
        <v>3949.38</v>
      </c>
      <c r="F6" s="7">
        <v>3203.16</v>
      </c>
      <c r="G6" s="7">
        <f t="shared" ref="G6" si="2">C6-D6-E6+F6</f>
        <v>133532.75999999998</v>
      </c>
      <c r="H6" s="7">
        <f>ROUND($G6*0.86,2)</f>
        <v>114838.17</v>
      </c>
      <c r="I6" s="7">
        <f t="shared" ref="I6:I7" si="3">ROUND($G6*0.04,2)</f>
        <v>5341.31</v>
      </c>
      <c r="J6" s="7">
        <f t="shared" ref="J6:J17" si="4">ROUND($G6*0.025,2)</f>
        <v>3338.32</v>
      </c>
      <c r="K6" s="7">
        <f>ROUND($G6*0.025,2)</f>
        <v>3338.32</v>
      </c>
      <c r="L6" s="7">
        <f>ROUND($G6*0.025,2)+0.22</f>
        <v>3338.54</v>
      </c>
      <c r="M6" s="7">
        <f>ROUND($G6*0.025,2)+0.6</f>
        <v>3338.92</v>
      </c>
    </row>
    <row r="7" spans="1:13" ht="15" customHeight="1" x14ac:dyDescent="0.25">
      <c r="A7" s="6" t="s">
        <v>22</v>
      </c>
      <c r="B7" s="7">
        <v>361804.87000000011</v>
      </c>
      <c r="C7" s="7">
        <f>ROUND(B7*0.36,2)+0.01</f>
        <v>130249.76</v>
      </c>
      <c r="D7" s="7">
        <f t="shared" si="0"/>
        <v>19537.46</v>
      </c>
      <c r="E7" s="7">
        <f t="shared" si="1"/>
        <v>3256.24</v>
      </c>
      <c r="F7" s="7">
        <v>3149.33</v>
      </c>
      <c r="G7" s="7">
        <f t="shared" ref="G7" si="5">C7-D7-E7+F7</f>
        <v>110605.38999999998</v>
      </c>
      <c r="H7" s="7">
        <f>ROUND($G7*0.86,2)+0.01</f>
        <v>95120.65</v>
      </c>
      <c r="I7" s="7">
        <f t="shared" si="3"/>
        <v>4424.22</v>
      </c>
      <c r="J7" s="7">
        <f t="shared" si="4"/>
        <v>2765.13</v>
      </c>
      <c r="K7" s="7">
        <f>ROUND($G7*0.025,2)-0.02</f>
        <v>2765.11</v>
      </c>
      <c r="L7" s="7">
        <f>ROUND($G7*0.025,2)</f>
        <v>2765.13</v>
      </c>
      <c r="M7" s="7">
        <f>ROUND($G7*0.025,2)-0.24</f>
        <v>2764.8900000000003</v>
      </c>
    </row>
    <row r="8" spans="1:13" ht="15" customHeight="1" x14ac:dyDescent="0.25">
      <c r="A8" s="6" t="s">
        <v>23</v>
      </c>
      <c r="B8" s="7">
        <v>328190.04999999981</v>
      </c>
      <c r="C8" s="7">
        <f>ROUND(B8*0.36,2)+0.01</f>
        <v>118148.43</v>
      </c>
      <c r="D8" s="7">
        <f t="shared" si="0"/>
        <v>17722.259999999998</v>
      </c>
      <c r="E8" s="7">
        <f t="shared" si="1"/>
        <v>2953.71</v>
      </c>
      <c r="F8" s="7">
        <v>3272.46</v>
      </c>
      <c r="G8" s="7">
        <f t="shared" ref="G8" si="6">C8-D8-E8+F8</f>
        <v>100744.92</v>
      </c>
      <c r="H8" s="7">
        <f>ROUND($G8*0.86,2)+0.01</f>
        <v>86640.639999999999</v>
      </c>
      <c r="I8" s="7">
        <f t="shared" ref="I8:I17" si="7">ROUND($G8*0.04,2)</f>
        <v>4029.8</v>
      </c>
      <c r="J8" s="7">
        <f t="shared" si="4"/>
        <v>2518.62</v>
      </c>
      <c r="K8" s="7">
        <f>ROUND($G8*0.025,2)+0.01</f>
        <v>2518.63</v>
      </c>
      <c r="L8" s="7">
        <f>ROUND($G8*0.025,2)-0.09</f>
        <v>2518.5299999999997</v>
      </c>
      <c r="M8" s="7">
        <f>ROUND($G8*0.025,2)-0.08</f>
        <v>2518.54</v>
      </c>
    </row>
    <row r="9" spans="1:13" ht="15" customHeight="1" x14ac:dyDescent="0.25">
      <c r="A9" s="6" t="s">
        <v>24</v>
      </c>
      <c r="B9" s="7">
        <v>465886.59</v>
      </c>
      <c r="C9" s="7">
        <f>ROUND(B9*0.36,2)+0.02</f>
        <v>167719.19</v>
      </c>
      <c r="D9" s="7">
        <f t="shared" si="0"/>
        <v>25157.88</v>
      </c>
      <c r="E9" s="7">
        <f t="shared" si="1"/>
        <v>4192.9799999999996</v>
      </c>
      <c r="F9" s="7">
        <v>3099.31</v>
      </c>
      <c r="G9" s="7">
        <f t="shared" ref="G9" si="8">C9-D9-E9+F9</f>
        <v>141467.63999999998</v>
      </c>
      <c r="H9" s="7">
        <f>ROUND($G9*0.86,2)</f>
        <v>121662.17</v>
      </c>
      <c r="I9" s="7">
        <f t="shared" si="7"/>
        <v>5658.71</v>
      </c>
      <c r="J9" s="7">
        <f t="shared" si="4"/>
        <v>3536.69</v>
      </c>
      <c r="K9" s="7">
        <f>ROUND($G9*0.025,2)+0.01</f>
        <v>3536.7000000000003</v>
      </c>
      <c r="L9" s="7">
        <f>ROUND($G9*0.025,2)-0.02</f>
        <v>3536.67</v>
      </c>
      <c r="M9" s="7">
        <f>ROUND($G9*0.025,2)-0.7</f>
        <v>3535.9900000000002</v>
      </c>
    </row>
    <row r="10" spans="1:13" ht="15" customHeight="1" x14ac:dyDescent="0.25">
      <c r="A10" s="6" t="s">
        <v>25</v>
      </c>
      <c r="B10" s="7">
        <v>305737.11000000034</v>
      </c>
      <c r="C10" s="7">
        <f>ROUND(B10*0.36,2)-0.04</f>
        <v>110065.32</v>
      </c>
      <c r="D10" s="7">
        <f t="shared" si="0"/>
        <v>16509.8</v>
      </c>
      <c r="E10" s="7">
        <f t="shared" si="1"/>
        <v>2751.63</v>
      </c>
      <c r="F10" s="7">
        <v>3106.65</v>
      </c>
      <c r="G10" s="7">
        <f t="shared" ref="G10" si="9">C10-D10-E10+F10</f>
        <v>93910.54</v>
      </c>
      <c r="H10" s="7">
        <f>ROUND($G10*0.86,2)+0.02</f>
        <v>80763.08</v>
      </c>
      <c r="I10" s="7">
        <f t="shared" si="7"/>
        <v>3756.42</v>
      </c>
      <c r="J10" s="7">
        <f t="shared" si="4"/>
        <v>2347.7600000000002</v>
      </c>
      <c r="K10" s="7">
        <f>ROUND($G10*0.025,2)-0.01</f>
        <v>2347.75</v>
      </c>
      <c r="L10" s="7">
        <f>ROUND($G10*0.025,2)-0.09</f>
        <v>2347.67</v>
      </c>
      <c r="M10" s="7">
        <f>ROUND($G10*0.025,2)+0.35</f>
        <v>2348.11</v>
      </c>
    </row>
    <row r="11" spans="1:13" ht="15" customHeight="1" x14ac:dyDescent="0.25">
      <c r="A11" s="6" t="s">
        <v>26</v>
      </c>
      <c r="B11" s="7">
        <v>576324.01</v>
      </c>
      <c r="C11" s="7">
        <f>ROUND(B11*0.36,2)+0.01</f>
        <v>207476.65000000002</v>
      </c>
      <c r="D11" s="7">
        <f t="shared" si="0"/>
        <v>31121.5</v>
      </c>
      <c r="E11" s="7">
        <f t="shared" si="1"/>
        <v>5186.92</v>
      </c>
      <c r="F11" s="7">
        <v>3552.78</v>
      </c>
      <c r="G11" s="7">
        <f t="shared" ref="G11" si="10">C11-D11-E11+F11</f>
        <v>174721.01</v>
      </c>
      <c r="H11" s="7">
        <f>ROUND($G11*0.86,2)-0.02</f>
        <v>150260.05000000002</v>
      </c>
      <c r="I11" s="7">
        <f t="shared" si="7"/>
        <v>6988.84</v>
      </c>
      <c r="J11" s="7">
        <f t="shared" si="4"/>
        <v>4368.03</v>
      </c>
      <c r="K11" s="7">
        <f>ROUND($G11*0.025,2)</f>
        <v>4368.03</v>
      </c>
      <c r="L11" s="7">
        <f>ROUND($G11*0.025,2)+0.03</f>
        <v>4368.0599999999995</v>
      </c>
      <c r="M11" s="7">
        <f>ROUND($G11*0.025,2)-0.44</f>
        <v>4367.59</v>
      </c>
    </row>
    <row r="12" spans="1:13" ht="15" customHeight="1" x14ac:dyDescent="0.25">
      <c r="A12" s="6" t="s">
        <v>27</v>
      </c>
      <c r="B12" s="7">
        <v>313929.92</v>
      </c>
      <c r="C12" s="7">
        <f>ROUND(B12*0.36,2)+0.01</f>
        <v>113014.78</v>
      </c>
      <c r="D12" s="7">
        <f t="shared" ref="D12:D17" si="11">ROUND(C12*0.15,2)</f>
        <v>16952.22</v>
      </c>
      <c r="E12" s="7">
        <f t="shared" si="1"/>
        <v>2825.37</v>
      </c>
      <c r="F12" s="7">
        <v>3332.22</v>
      </c>
      <c r="G12" s="7">
        <f t="shared" ref="G12" si="12">C12-D12-E12+F12</f>
        <v>96569.41</v>
      </c>
      <c r="H12" s="7">
        <f>ROUND($G12*0.86,2)-0.02</f>
        <v>83049.67</v>
      </c>
      <c r="I12" s="7">
        <f t="shared" si="7"/>
        <v>3862.78</v>
      </c>
      <c r="J12" s="7">
        <f t="shared" si="4"/>
        <v>2414.2399999999998</v>
      </c>
      <c r="K12" s="7">
        <f>ROUND($G12*0.025,2)-0.01</f>
        <v>2414.2299999999996</v>
      </c>
      <c r="L12" s="7">
        <f>ROUND($G12*0.025,2)+0.06</f>
        <v>2414.2999999999997</v>
      </c>
      <c r="M12" s="7">
        <f>ROUND($G12*0.025,2)+0.9</f>
        <v>2415.14</v>
      </c>
    </row>
    <row r="13" spans="1:13" ht="15" customHeight="1" x14ac:dyDescent="0.25">
      <c r="A13" s="6" t="s">
        <v>28</v>
      </c>
      <c r="B13" s="7">
        <v>372074.64</v>
      </c>
      <c r="C13" s="7">
        <f>ROUND(B13*0.36,2)-0.08</f>
        <v>133946.79</v>
      </c>
      <c r="D13" s="7">
        <f t="shared" si="11"/>
        <v>20092.02</v>
      </c>
      <c r="E13" s="7">
        <f t="shared" si="1"/>
        <v>3348.67</v>
      </c>
      <c r="F13" s="7">
        <v>3226.57</v>
      </c>
      <c r="G13" s="7">
        <f t="shared" ref="G13" si="13">C13-D13-E13+F13</f>
        <v>113732.67000000001</v>
      </c>
      <c r="H13" s="7">
        <f>ROUND($G13*0.86,2)-0.02</f>
        <v>97810.08</v>
      </c>
      <c r="I13" s="7">
        <f t="shared" si="7"/>
        <v>4549.3100000000004</v>
      </c>
      <c r="J13" s="7">
        <f t="shared" si="4"/>
        <v>2843.32</v>
      </c>
      <c r="K13" s="7">
        <f>ROUND($G13*0.025,2)+0.01</f>
        <v>2843.3300000000004</v>
      </c>
      <c r="L13" s="7">
        <f>ROUND($G13*0.025,2)+0.01</f>
        <v>2843.3300000000004</v>
      </c>
      <c r="M13" s="7">
        <f>ROUND($G13*0.025,2)-0.41</f>
        <v>2842.9100000000003</v>
      </c>
    </row>
    <row r="14" spans="1:13" ht="15" customHeight="1" x14ac:dyDescent="0.25">
      <c r="A14" s="6" t="s">
        <v>31</v>
      </c>
      <c r="B14" s="7">
        <v>206607.1699999999</v>
      </c>
      <c r="C14" s="7">
        <f>ROUND(B14*0.36,2)-0.06</f>
        <v>74378.52</v>
      </c>
      <c r="D14" s="7">
        <f t="shared" si="11"/>
        <v>11156.78</v>
      </c>
      <c r="E14" s="7">
        <f t="shared" si="1"/>
        <v>1859.46</v>
      </c>
      <c r="F14" s="7">
        <v>2969.23</v>
      </c>
      <c r="G14" s="7">
        <f t="shared" ref="G14" si="14">C14-D14-E14+F14</f>
        <v>64331.510000000009</v>
      </c>
      <c r="H14" s="7">
        <f>ROUND($G14*0.86,2)-0.01</f>
        <v>55325.09</v>
      </c>
      <c r="I14" s="7">
        <f t="shared" si="7"/>
        <v>2573.2600000000002</v>
      </c>
      <c r="J14" s="7">
        <f t="shared" si="4"/>
        <v>1608.29</v>
      </c>
      <c r="K14" s="7">
        <f>ROUND($G14*0.025,2)</f>
        <v>1608.29</v>
      </c>
      <c r="L14" s="7">
        <f>ROUND($G14*0.025,2)-0.03</f>
        <v>1608.26</v>
      </c>
      <c r="M14" s="7">
        <f>ROUND($G14*0.025,2)-0.11</f>
        <v>1608.18</v>
      </c>
    </row>
    <row r="15" spans="1:13" ht="15" customHeight="1" x14ac:dyDescent="0.25">
      <c r="A15" s="6" t="s">
        <v>33</v>
      </c>
      <c r="B15" s="7">
        <v>204552.57999999996</v>
      </c>
      <c r="C15" s="7">
        <f>ROUND(B15*0.36,2)+0.03</f>
        <v>73638.959999999992</v>
      </c>
      <c r="D15" s="7">
        <f t="shared" si="11"/>
        <v>11045.84</v>
      </c>
      <c r="E15" s="7">
        <f t="shared" si="1"/>
        <v>1840.97</v>
      </c>
      <c r="F15" s="7">
        <v>2228.36</v>
      </c>
      <c r="G15" s="7">
        <f t="shared" ref="G15" si="15">C15-D15-E15+F15</f>
        <v>62980.509999999995</v>
      </c>
      <c r="H15" s="7">
        <f>ROUND($G15*0.86,2)+0.01</f>
        <v>54163.25</v>
      </c>
      <c r="I15" s="7">
        <f t="shared" si="7"/>
        <v>2519.2199999999998</v>
      </c>
      <c r="J15" s="7">
        <f t="shared" si="4"/>
        <v>1574.51</v>
      </c>
      <c r="K15" s="7">
        <f>ROUND($G15*0.025,2)</f>
        <v>1574.51</v>
      </c>
      <c r="L15" s="7">
        <f>ROUND($G15*0.025,2)+0.07</f>
        <v>1574.58</v>
      </c>
      <c r="M15" s="7">
        <f>ROUND($G15*0.025,2)+0.67</f>
        <v>1575.18</v>
      </c>
    </row>
    <row r="16" spans="1:13" ht="15" customHeight="1" x14ac:dyDescent="0.25">
      <c r="A16" s="6" t="s">
        <v>34</v>
      </c>
      <c r="B16" s="7">
        <v>241895.92</v>
      </c>
      <c r="C16" s="7">
        <f>ROUND(B16*0.36,2)</f>
        <v>87082.53</v>
      </c>
      <c r="D16" s="7">
        <f t="shared" si="11"/>
        <v>13062.38</v>
      </c>
      <c r="E16" s="7">
        <f t="shared" si="1"/>
        <v>2177.06</v>
      </c>
      <c r="F16" s="7">
        <v>2358.13</v>
      </c>
      <c r="G16" s="7">
        <f t="shared" ref="G16" si="16">C16-D16-E16+F16</f>
        <v>74201.22</v>
      </c>
      <c r="H16" s="7">
        <f>ROUND($G16*0.86,2)</f>
        <v>63813.05</v>
      </c>
      <c r="I16" s="7">
        <f t="shared" si="7"/>
        <v>2968.05</v>
      </c>
      <c r="J16" s="7">
        <f t="shared" si="4"/>
        <v>1855.03</v>
      </c>
      <c r="K16" s="7">
        <f>ROUND($G16*0.025,2)-0.01</f>
        <v>1855.02</v>
      </c>
      <c r="L16" s="7">
        <f>ROUND($G16*0.025,2)-0.08</f>
        <v>1854.95</v>
      </c>
      <c r="M16" s="7">
        <f>ROUND($G16*0.025,2)+0.07-1</f>
        <v>1854.1</v>
      </c>
    </row>
    <row r="17" spans="1:13" ht="15" customHeight="1" x14ac:dyDescent="0.25">
      <c r="A17" s="6" t="s">
        <v>35</v>
      </c>
      <c r="B17" s="7">
        <v>201191.42000000007</v>
      </c>
      <c r="C17" s="7">
        <f>ROUND(B17*0.36,2)+0.05</f>
        <v>72428.960000000006</v>
      </c>
      <c r="D17" s="7">
        <f t="shared" si="11"/>
        <v>10864.34</v>
      </c>
      <c r="E17" s="7">
        <f t="shared" si="1"/>
        <v>1810.72</v>
      </c>
      <c r="F17" s="7">
        <v>2356.71</v>
      </c>
      <c r="G17" s="7">
        <f t="shared" ref="G17" si="17">C17-D17-E17+F17</f>
        <v>62110.610000000008</v>
      </c>
      <c r="H17" s="7">
        <f>ROUND($G17*0.86,2)-0.01</f>
        <v>53415.11</v>
      </c>
      <c r="I17" s="7">
        <f t="shared" si="7"/>
        <v>2484.42</v>
      </c>
      <c r="J17" s="7">
        <f t="shared" si="4"/>
        <v>1552.77</v>
      </c>
      <c r="K17" s="7">
        <f>ROUND($G17*0.025,2)+0.01</f>
        <v>1552.78</v>
      </c>
      <c r="L17" s="7">
        <f>ROUND($G17*0.025,2)-0.07</f>
        <v>1552.7</v>
      </c>
      <c r="M17" s="7">
        <f>ROUND($G17*0.025,2)-0.06</f>
        <v>1552.71</v>
      </c>
    </row>
    <row r="19" spans="1:13" ht="15" customHeight="1" thickBot="1" x14ac:dyDescent="0.3">
      <c r="B19" s="8">
        <f>SUM(B6:B18)</f>
        <v>4017014.5500000003</v>
      </c>
      <c r="C19" s="8">
        <f t="shared" ref="C19:M19" si="18">SUM(C6:C18)</f>
        <v>1446125.16</v>
      </c>
      <c r="D19" s="8">
        <f t="shared" si="18"/>
        <v>216918.77</v>
      </c>
      <c r="E19" s="8">
        <f t="shared" si="18"/>
        <v>36153.11</v>
      </c>
      <c r="F19" s="8">
        <f t="shared" si="18"/>
        <v>35854.909999999996</v>
      </c>
      <c r="G19" s="8">
        <f t="shared" si="18"/>
        <v>1228908.1900000002</v>
      </c>
      <c r="H19" s="8">
        <f t="shared" si="18"/>
        <v>1056861.01</v>
      </c>
      <c r="I19" s="8">
        <f t="shared" si="18"/>
        <v>49156.340000000004</v>
      </c>
      <c r="J19" s="8">
        <f t="shared" si="18"/>
        <v>30722.71</v>
      </c>
      <c r="K19" s="8">
        <f t="shared" si="18"/>
        <v>30722.7</v>
      </c>
      <c r="L19" s="8">
        <f t="shared" si="18"/>
        <v>30722.720000000001</v>
      </c>
      <c r="M19" s="8">
        <f t="shared" si="18"/>
        <v>30722.26</v>
      </c>
    </row>
    <row r="20" spans="1:13" ht="15" customHeight="1" thickTop="1" x14ac:dyDescent="0.25"/>
    <row r="21" spans="1:13" ht="15" customHeight="1" x14ac:dyDescent="0.25">
      <c r="A21" s="9" t="s">
        <v>11</v>
      </c>
    </row>
  </sheetData>
  <mergeCells count="1">
    <mergeCell ref="A4:M4"/>
  </mergeCells>
  <pageMargins left="0.25" right="0.25" top="0.75" bottom="0.25" header="0.25" footer="0"/>
  <pageSetup scale="75" orientation="landscape" r:id="rId1"/>
  <headerFooter>
    <oddHeader>&amp;C&amp;"Arial,Italic"&amp;10GREENBRIER HISTORIC RESORT VIDEO LOTTERY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workbookViewId="0">
      <pane ySplit="3" topLeftCell="A4" activePane="bottomLeft" state="frozen"/>
      <selection pane="bottomLeft" activeCell="A19" sqref="A19"/>
    </sheetView>
  </sheetViews>
  <sheetFormatPr defaultRowHeight="15" customHeight="1" x14ac:dyDescent="0.25"/>
  <cols>
    <col min="1" max="1" width="15.7109375" style="3" customWidth="1"/>
    <col min="2" max="3" width="15" style="3" bestFit="1" customWidth="1"/>
    <col min="4" max="4" width="13.28515625" style="3" bestFit="1" customWidth="1"/>
    <col min="5" max="5" width="11.7109375" style="3" customWidth="1"/>
    <col min="6" max="6" width="14.85546875" style="3" customWidth="1"/>
    <col min="7" max="7" width="14.28515625" style="3" bestFit="1" customWidth="1"/>
    <col min="8" max="9" width="11.7109375" style="3" customWidth="1"/>
    <col min="10" max="10" width="13.7109375" style="3" bestFit="1" customWidth="1"/>
    <col min="11" max="11" width="11.7109375" style="3" customWidth="1"/>
    <col min="12" max="12" width="15.140625" style="3" bestFit="1" customWidth="1"/>
    <col min="13" max="16384" width="9.140625" style="3"/>
  </cols>
  <sheetData>
    <row r="1" spans="1:12" ht="45" x14ac:dyDescent="0.25">
      <c r="B1" s="4" t="s">
        <v>10</v>
      </c>
      <c r="C1" s="4" t="s">
        <v>2</v>
      </c>
      <c r="D1" s="4" t="s">
        <v>12</v>
      </c>
      <c r="E1" s="5" t="s">
        <v>4</v>
      </c>
      <c r="F1" s="4" t="s">
        <v>15</v>
      </c>
      <c r="G1" s="4" t="s">
        <v>3</v>
      </c>
      <c r="H1" s="4" t="s">
        <v>18</v>
      </c>
      <c r="I1" s="4" t="s">
        <v>5</v>
      </c>
      <c r="J1" s="4" t="s">
        <v>6</v>
      </c>
      <c r="K1" s="4" t="s">
        <v>7</v>
      </c>
      <c r="L1" s="4" t="s">
        <v>8</v>
      </c>
    </row>
    <row r="2" spans="1:12" ht="15" customHeight="1" x14ac:dyDescent="0.25">
      <c r="A2" s="6" t="s">
        <v>21</v>
      </c>
      <c r="B2" s="11">
        <v>6565361.9969999995</v>
      </c>
      <c r="C2" s="11">
        <v>1969608.6199999999</v>
      </c>
      <c r="D2" s="11">
        <v>295441.3</v>
      </c>
      <c r="E2" s="11">
        <v>24802.58</v>
      </c>
      <c r="F2" s="11">
        <v>1698969.9</v>
      </c>
      <c r="G2" s="11">
        <v>1461114.13</v>
      </c>
      <c r="H2" s="11">
        <v>67958.810000000012</v>
      </c>
      <c r="I2" s="11">
        <v>42474.240000000013</v>
      </c>
      <c r="J2" s="11">
        <v>42474.240000000005</v>
      </c>
      <c r="K2" s="11">
        <v>42474.109999999993</v>
      </c>
      <c r="L2" s="11">
        <v>42473.899999999994</v>
      </c>
    </row>
    <row r="4" spans="1:12" ht="15" customHeight="1" x14ac:dyDescent="0.25">
      <c r="A4" s="14" t="s">
        <v>20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</row>
    <row r="6" spans="1:12" ht="15" customHeight="1" x14ac:dyDescent="0.25">
      <c r="A6" s="10" t="s">
        <v>19</v>
      </c>
      <c r="B6" s="7">
        <v>563025.5</v>
      </c>
      <c r="C6" s="7">
        <f>ROUND($B6*0.3,2)</f>
        <v>168907.65</v>
      </c>
      <c r="D6" s="7">
        <f t="shared" ref="D6:D17" si="0">ROUND($C6*0.15,2)</f>
        <v>25336.15</v>
      </c>
      <c r="E6" s="7">
        <v>3203.15</v>
      </c>
      <c r="F6" s="7">
        <f t="shared" ref="F6:F11" si="1">C6-D6+E6</f>
        <v>146774.65</v>
      </c>
      <c r="G6" s="7">
        <f>ROUND($F6*0.86,2)-0.02</f>
        <v>126226.18</v>
      </c>
      <c r="H6" s="7">
        <f t="shared" ref="H6:H17" si="2">ROUND($F6*0.04,2)</f>
        <v>5870.99</v>
      </c>
      <c r="I6" s="7">
        <f t="shared" ref="I6:I17" si="3">ROUND($F6*0.025,2)</f>
        <v>3669.37</v>
      </c>
      <c r="J6" s="7">
        <f>ROUND($F6*0.025,2)+0.01</f>
        <v>3669.38</v>
      </c>
      <c r="K6" s="7">
        <f>ROUND($F6*0.025,2)+0.21</f>
        <v>3669.58</v>
      </c>
      <c r="L6" s="7">
        <f>ROUND($F6*0.025,2)+0.6</f>
        <v>3669.97</v>
      </c>
    </row>
    <row r="7" spans="1:12" ht="15" customHeight="1" x14ac:dyDescent="0.25">
      <c r="A7" s="6" t="str">
        <f>'Video Lottery'!A7</f>
        <v>August 2023</v>
      </c>
      <c r="B7" s="7">
        <v>952143.75</v>
      </c>
      <c r="C7" s="7">
        <f>ROUND($B7*0.3,2)+0.01</f>
        <v>285643.14</v>
      </c>
      <c r="D7" s="7">
        <f t="shared" si="0"/>
        <v>42846.47</v>
      </c>
      <c r="E7" s="7">
        <v>3149.34</v>
      </c>
      <c r="F7" s="7">
        <f t="shared" si="1"/>
        <v>245946.01</v>
      </c>
      <c r="G7" s="7">
        <f>ROUND($F7*0.86,2)</f>
        <v>211513.57</v>
      </c>
      <c r="H7" s="7">
        <f t="shared" si="2"/>
        <v>9837.84</v>
      </c>
      <c r="I7" s="7">
        <f t="shared" si="3"/>
        <v>6148.65</v>
      </c>
      <c r="J7" s="7">
        <f>ROUND($F7*0.025,2)-0.03</f>
        <v>6148.62</v>
      </c>
      <c r="K7" s="7">
        <f>ROUND($F7*0.025,2)</f>
        <v>6148.65</v>
      </c>
      <c r="L7" s="7">
        <f>ROUND($F7*0.025,2)-0.23</f>
        <v>6148.42</v>
      </c>
    </row>
    <row r="8" spans="1:12" ht="15" customHeight="1" x14ac:dyDescent="0.25">
      <c r="A8" s="6" t="str">
        <f>'Video Lottery'!A8</f>
        <v>September 2023</v>
      </c>
      <c r="B8" s="7">
        <v>614940.5</v>
      </c>
      <c r="C8" s="7">
        <f>ROUND($B8*0.3,2)-0.01</f>
        <v>184482.13999999998</v>
      </c>
      <c r="D8" s="7">
        <f t="shared" si="0"/>
        <v>27672.32</v>
      </c>
      <c r="E8" s="7">
        <v>3272.46</v>
      </c>
      <c r="F8" s="7">
        <f t="shared" si="1"/>
        <v>160082.27999999997</v>
      </c>
      <c r="G8" s="7">
        <f>ROUND($F8*0.86,2)-0.01</f>
        <v>137670.75</v>
      </c>
      <c r="H8" s="7">
        <f t="shared" si="2"/>
        <v>6403.29</v>
      </c>
      <c r="I8" s="7">
        <f t="shared" si="3"/>
        <v>4002.06</v>
      </c>
      <c r="J8" s="7">
        <f>ROUND($F8*0.025,2)+0.02</f>
        <v>4002.08</v>
      </c>
      <c r="K8" s="7">
        <f>ROUND($F8*0.025,2)-0.09</f>
        <v>4001.97</v>
      </c>
      <c r="L8" s="7">
        <f>ROUND($F8*0.025,2)-0.08</f>
        <v>4001.98</v>
      </c>
    </row>
    <row r="9" spans="1:12" ht="15" customHeight="1" x14ac:dyDescent="0.25">
      <c r="A9" s="6" t="str">
        <f>'Video Lottery'!A9</f>
        <v>October 2023</v>
      </c>
      <c r="B9" s="7">
        <v>384409.5</v>
      </c>
      <c r="C9" s="7">
        <f>ROUND($B9*0.3,2)</f>
        <v>115322.85</v>
      </c>
      <c r="D9" s="7">
        <f t="shared" si="0"/>
        <v>17298.43</v>
      </c>
      <c r="E9" s="7">
        <v>3099.3</v>
      </c>
      <c r="F9" s="7">
        <f t="shared" si="1"/>
        <v>101123.72000000002</v>
      </c>
      <c r="G9" s="7">
        <f>ROUND($F9*0.86,2)+0.01</f>
        <v>86966.409999999989</v>
      </c>
      <c r="H9" s="7">
        <f t="shared" si="2"/>
        <v>4044.95</v>
      </c>
      <c r="I9" s="7">
        <f t="shared" si="3"/>
        <v>2528.09</v>
      </c>
      <c r="J9" s="7">
        <f>ROUND($F9*0.025,2)+0.01</f>
        <v>2528.1000000000004</v>
      </c>
      <c r="K9" s="7">
        <f>ROUND($F9*0.025,2)-0.02</f>
        <v>2528.0700000000002</v>
      </c>
      <c r="L9" s="7">
        <f>ROUND($F9*0.025,2)-0.71</f>
        <v>2527.38</v>
      </c>
    </row>
    <row r="10" spans="1:12" ht="15" customHeight="1" x14ac:dyDescent="0.25">
      <c r="A10" s="6" t="str">
        <f>'Video Lottery'!A10</f>
        <v>November 2023</v>
      </c>
      <c r="B10" s="7">
        <v>630364</v>
      </c>
      <c r="C10" s="7">
        <f>ROUND($B10*0.3,2)-0.01</f>
        <v>189109.19</v>
      </c>
      <c r="D10" s="7">
        <f t="shared" si="0"/>
        <v>28366.38</v>
      </c>
      <c r="E10" s="7">
        <v>3106.66</v>
      </c>
      <c r="F10" s="7">
        <f t="shared" si="1"/>
        <v>163849.47</v>
      </c>
      <c r="G10" s="7">
        <f>ROUND($F10*0.86,2)-0.01</f>
        <v>140910.53</v>
      </c>
      <c r="H10" s="7">
        <f t="shared" si="2"/>
        <v>6553.98</v>
      </c>
      <c r="I10" s="7">
        <f t="shared" si="3"/>
        <v>4096.24</v>
      </c>
      <c r="J10" s="7">
        <f>ROUND($F10*0.025,2)</f>
        <v>4096.24</v>
      </c>
      <c r="K10" s="7">
        <f>ROUND($F10*0.025,2)-0.09</f>
        <v>4096.1499999999996</v>
      </c>
      <c r="L10" s="7">
        <f>ROUND($F10*0.025,2)+0.35</f>
        <v>4096.59</v>
      </c>
    </row>
    <row r="11" spans="1:12" ht="15" customHeight="1" x14ac:dyDescent="0.25">
      <c r="A11" s="6" t="str">
        <f>'Video Lottery'!A11</f>
        <v>December 2023</v>
      </c>
      <c r="B11" s="7">
        <v>578158</v>
      </c>
      <c r="C11" s="7">
        <f>ROUND($B11*0.3,2)+0.01</f>
        <v>173447.41</v>
      </c>
      <c r="D11" s="7">
        <f t="shared" si="0"/>
        <v>26017.11</v>
      </c>
      <c r="E11" s="7">
        <v>3552.78</v>
      </c>
      <c r="F11" s="7">
        <f t="shared" si="1"/>
        <v>150983.07999999999</v>
      </c>
      <c r="G11" s="7">
        <f>ROUND($F11*0.86,2)-0.01</f>
        <v>129845.44</v>
      </c>
      <c r="H11" s="7">
        <f t="shared" si="2"/>
        <v>6039.32</v>
      </c>
      <c r="I11" s="7">
        <f t="shared" si="3"/>
        <v>3774.58</v>
      </c>
      <c r="J11" s="7">
        <f>ROUND($F11*0.025,2)</f>
        <v>3774.58</v>
      </c>
      <c r="K11" s="7">
        <f>ROUND($F11*0.025,2)+0.02</f>
        <v>3774.6</v>
      </c>
      <c r="L11" s="7">
        <f>ROUND($F11*0.025,2)-0.44</f>
        <v>3774.14</v>
      </c>
    </row>
    <row r="12" spans="1:12" ht="15" customHeight="1" x14ac:dyDescent="0.25">
      <c r="A12" s="6" t="str">
        <f>'Video Lottery'!A12</f>
        <v>January 2024</v>
      </c>
      <c r="B12" s="7">
        <v>398854</v>
      </c>
      <c r="C12" s="7">
        <f t="shared" ref="C12:C17" si="4">ROUND($B12*0.3,2)</f>
        <v>119656.2</v>
      </c>
      <c r="D12" s="7">
        <f t="shared" si="0"/>
        <v>17948.43</v>
      </c>
      <c r="E12" s="7">
        <v>3332.21</v>
      </c>
      <c r="F12" s="7">
        <f t="shared" ref="F12" si="5">C12-D12+E12</f>
        <v>105039.98</v>
      </c>
      <c r="G12" s="7">
        <f>ROUND($F12*0.86,2)</f>
        <v>90334.38</v>
      </c>
      <c r="H12" s="7">
        <f t="shared" si="2"/>
        <v>4201.6000000000004</v>
      </c>
      <c r="I12" s="7">
        <f t="shared" si="3"/>
        <v>2626</v>
      </c>
      <c r="J12" s="7">
        <f>ROUND($F12*0.025,2)-0.02</f>
        <v>2625.98</v>
      </c>
      <c r="K12" s="7">
        <f>ROUND($F12*0.025,2)+0.06</f>
        <v>2626.06</v>
      </c>
      <c r="L12" s="7">
        <f>ROUND($F12*0.025,2)+0.89</f>
        <v>2626.89</v>
      </c>
    </row>
    <row r="13" spans="1:12" ht="15" customHeight="1" x14ac:dyDescent="0.25">
      <c r="A13" s="6" t="str">
        <f>'Video Lottery'!A13</f>
        <v>February 2024</v>
      </c>
      <c r="B13" s="7">
        <v>368398</v>
      </c>
      <c r="C13" s="7">
        <f t="shared" si="4"/>
        <v>110519.4</v>
      </c>
      <c r="D13" s="7">
        <f t="shared" si="0"/>
        <v>16577.91</v>
      </c>
      <c r="E13" s="7">
        <v>3226.58</v>
      </c>
      <c r="F13" s="7">
        <f t="shared" ref="F13" si="6">C13-D13+E13</f>
        <v>97168.069999999992</v>
      </c>
      <c r="G13" s="7">
        <f>ROUND($F13*0.86,2)+0.01</f>
        <v>83564.549999999988</v>
      </c>
      <c r="H13" s="7">
        <f t="shared" si="2"/>
        <v>3886.72</v>
      </c>
      <c r="I13" s="7">
        <f t="shared" si="3"/>
        <v>2429.1999999999998</v>
      </c>
      <c r="J13" s="7">
        <f>ROUND($F13*0.025,2)+0.01</f>
        <v>2429.21</v>
      </c>
      <c r="K13" s="7">
        <f>ROUND($F13*0.025,2)+0.03</f>
        <v>2429.23</v>
      </c>
      <c r="L13" s="7">
        <f>ROUND($F13*0.025,2)-0.39</f>
        <v>2428.81</v>
      </c>
    </row>
    <row r="14" spans="1:12" ht="15" customHeight="1" x14ac:dyDescent="0.25">
      <c r="A14" s="6" t="str">
        <f>'Video Lottery'!A14</f>
        <v>March 2024</v>
      </c>
      <c r="B14" s="7">
        <v>401364.5</v>
      </c>
      <c r="C14" s="7">
        <f t="shared" si="4"/>
        <v>120409.35</v>
      </c>
      <c r="D14" s="7">
        <f t="shared" si="0"/>
        <v>18061.400000000001</v>
      </c>
      <c r="E14" s="7">
        <v>2969.23</v>
      </c>
      <c r="F14" s="7">
        <f t="shared" ref="F14" si="7">C14-D14+E14</f>
        <v>105317.18000000001</v>
      </c>
      <c r="G14" s="7">
        <f>ROUND($F14*0.86,2)</f>
        <v>90572.77</v>
      </c>
      <c r="H14" s="7">
        <f t="shared" si="2"/>
        <v>4212.6899999999996</v>
      </c>
      <c r="I14" s="7">
        <f t="shared" si="3"/>
        <v>2632.93</v>
      </c>
      <c r="J14" s="7">
        <f>ROUND($F14*0.025,2)+0.01</f>
        <v>2632.94</v>
      </c>
      <c r="K14" s="7">
        <f>ROUND($F14*0.025,2)-0.03</f>
        <v>2632.8999999999996</v>
      </c>
      <c r="L14" s="7">
        <f>ROUND($F14*0.025,2)-0.12</f>
        <v>2632.81</v>
      </c>
    </row>
    <row r="15" spans="1:12" ht="15" customHeight="1" x14ac:dyDescent="0.25">
      <c r="A15" s="6" t="str">
        <f>'Video Lottery'!A15</f>
        <v>April 2024</v>
      </c>
      <c r="B15" s="7">
        <v>239111</v>
      </c>
      <c r="C15" s="7">
        <f t="shared" si="4"/>
        <v>71733.3</v>
      </c>
      <c r="D15" s="7">
        <f t="shared" si="0"/>
        <v>10760</v>
      </c>
      <c r="E15" s="7">
        <v>2228.36</v>
      </c>
      <c r="F15" s="7">
        <f t="shared" ref="F15" si="8">C15-D15+E15</f>
        <v>63201.66</v>
      </c>
      <c r="G15" s="7">
        <f>ROUND($F15*0.86,2)</f>
        <v>54353.43</v>
      </c>
      <c r="H15" s="7">
        <f t="shared" si="2"/>
        <v>2528.0700000000002</v>
      </c>
      <c r="I15" s="7">
        <f t="shared" si="3"/>
        <v>1580.04</v>
      </c>
      <c r="J15" s="7">
        <f>ROUND($F15*0.025,2)</f>
        <v>1580.04</v>
      </c>
      <c r="K15" s="7">
        <f>ROUND($F15*0.025,2)+0.06</f>
        <v>1580.1</v>
      </c>
      <c r="L15" s="7">
        <f>ROUND($F15*0.025,2)+0.66</f>
        <v>1580.7</v>
      </c>
    </row>
    <row r="16" spans="1:12" ht="15" customHeight="1" x14ac:dyDescent="0.25">
      <c r="A16" s="6" t="str">
        <f>'Video Lottery'!A16</f>
        <v>May 2024</v>
      </c>
      <c r="B16" s="7">
        <v>639178.99699999997</v>
      </c>
      <c r="C16" s="7">
        <f t="shared" si="4"/>
        <v>191753.7</v>
      </c>
      <c r="D16" s="7">
        <f t="shared" si="0"/>
        <v>28763.06</v>
      </c>
      <c r="E16" s="7">
        <v>2358.13</v>
      </c>
      <c r="F16" s="7">
        <f t="shared" ref="F16" si="9">C16-D16+E16</f>
        <v>165348.77000000002</v>
      </c>
      <c r="G16" s="7">
        <f>ROUND($F16*0.86,2)</f>
        <v>142199.94</v>
      </c>
      <c r="H16" s="7">
        <f t="shared" si="2"/>
        <v>6613.95</v>
      </c>
      <c r="I16" s="7">
        <f t="shared" si="3"/>
        <v>4133.72</v>
      </c>
      <c r="J16" s="7">
        <f>ROUND($F16*0.025,2)-0.03</f>
        <v>4133.6900000000005</v>
      </c>
      <c r="K16" s="7">
        <f>ROUND($F16*0.025,2)-0.07</f>
        <v>4133.6500000000005</v>
      </c>
      <c r="L16" s="7">
        <f>ROUND($F16*0.025,2)+0.07-1</f>
        <v>4132.79</v>
      </c>
    </row>
    <row r="17" spans="1:12" ht="15" customHeight="1" x14ac:dyDescent="0.25">
      <c r="A17" s="6" t="str">
        <f>'Video Lottery'!A17</f>
        <v>June 2024</v>
      </c>
      <c r="B17" s="7">
        <v>286614.5</v>
      </c>
      <c r="C17" s="7">
        <f t="shared" si="4"/>
        <v>85984.35</v>
      </c>
      <c r="D17" s="7">
        <f t="shared" si="0"/>
        <v>12897.65</v>
      </c>
      <c r="E17" s="7">
        <v>2356.71</v>
      </c>
      <c r="F17" s="7">
        <f t="shared" ref="F17" si="10">C17-D17+E17</f>
        <v>75443.410000000018</v>
      </c>
      <c r="G17" s="7">
        <f>ROUND($F17*0.86,2)-0.02</f>
        <v>64881.310000000005</v>
      </c>
      <c r="H17" s="7">
        <f t="shared" si="2"/>
        <v>3017.74</v>
      </c>
      <c r="I17" s="7">
        <f t="shared" si="3"/>
        <v>1886.09</v>
      </c>
      <c r="J17" s="7">
        <f>ROUND($F17*0.025,2)+0.02</f>
        <v>1886.11</v>
      </c>
      <c r="K17" s="7">
        <f>ROUND($F17*0.025,2)-0.07</f>
        <v>1886.02</v>
      </c>
      <c r="L17" s="7">
        <f>ROUND($F17*0.025,2)-0.04</f>
        <v>1886.05</v>
      </c>
    </row>
    <row r="18" spans="1:12" ht="15" customHeight="1" x14ac:dyDescent="0.25">
      <c r="A18" s="10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</row>
    <row r="19" spans="1:12" ht="15" customHeight="1" thickBot="1" x14ac:dyDescent="0.3">
      <c r="B19" s="8">
        <f t="shared" ref="B19:L19" si="11">SUM(B6:B18)</f>
        <v>6056562.2469999995</v>
      </c>
      <c r="C19" s="8">
        <f t="shared" si="11"/>
        <v>1816968.68</v>
      </c>
      <c r="D19" s="8">
        <f t="shared" si="11"/>
        <v>272545.31</v>
      </c>
      <c r="E19" s="8">
        <f t="shared" si="11"/>
        <v>35854.909999999996</v>
      </c>
      <c r="F19" s="8">
        <f t="shared" si="11"/>
        <v>1580278.2799999998</v>
      </c>
      <c r="G19" s="8">
        <f t="shared" si="11"/>
        <v>1359039.26</v>
      </c>
      <c r="H19" s="8">
        <f t="shared" si="11"/>
        <v>63211.139999999992</v>
      </c>
      <c r="I19" s="8">
        <f t="shared" si="11"/>
        <v>39506.969999999994</v>
      </c>
      <c r="J19" s="8">
        <f t="shared" si="11"/>
        <v>39506.97</v>
      </c>
      <c r="K19" s="8">
        <f t="shared" si="11"/>
        <v>39506.979999999996</v>
      </c>
      <c r="L19" s="8">
        <f t="shared" si="11"/>
        <v>39506.530000000006</v>
      </c>
    </row>
    <row r="20" spans="1:12" ht="15" customHeight="1" thickTop="1" x14ac:dyDescent="0.25"/>
    <row r="21" spans="1:12" ht="15" customHeight="1" x14ac:dyDescent="0.25">
      <c r="A21" s="9" t="s">
        <v>11</v>
      </c>
    </row>
  </sheetData>
  <mergeCells count="1">
    <mergeCell ref="A4:L4"/>
  </mergeCells>
  <pageMargins left="0.25" right="0.25" top="0.75" bottom="0.25" header="0.25" footer="0"/>
  <pageSetup scale="81" orientation="landscape" r:id="rId1"/>
  <headerFooter>
    <oddHeader>&amp;C&amp;"Arial,Italic"&amp;10GREENBRIER HISTORIC RESORT TABLE GAMES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Video Lottery</vt:lpstr>
      <vt:lpstr>Table Games</vt:lpstr>
      <vt:lpstr>Summary!Print_Area</vt:lpstr>
      <vt:lpstr>'Table Games'!Print_Area</vt:lpstr>
      <vt:lpstr>'Video Lottery'!Print_Area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2022-05-18T18:58:40Z</cp:lastPrinted>
  <dcterms:created xsi:type="dcterms:W3CDTF">2017-06-09T17:49:43Z</dcterms:created>
  <dcterms:modified xsi:type="dcterms:W3CDTF">2024-07-17T18:02:12Z</dcterms:modified>
</cp:coreProperties>
</file>